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20115" windowHeight="7995" firstSheet="10" activeTab="11"/>
  </bookViews>
  <sheets>
    <sheet name="Cálculo M.Obra" sheetId="16" r:id="rId1"/>
    <sheet name="Recursos" sheetId="17" r:id="rId2"/>
    <sheet name="Presupuesto M.O." sheetId="15" r:id="rId3"/>
    <sheet name="COSTO MATERIALES" sheetId="1" r:id="rId4"/>
    <sheet name="RESUMEN PRESUPUESTO" sheetId="6" r:id="rId5"/>
    <sheet name="DEMANDA HORARIA PARQUE INDUST." sheetId="9" r:id="rId6"/>
    <sheet name="ESTIMACIÓN DEM. DE POT MAXIMA" sheetId="10" r:id="rId7"/>
    <sheet name="ESTIMACIÓN DEM. DE ENERGÍA" sheetId="11" r:id="rId8"/>
    <sheet name="PRESTAMO BANCARIO" sheetId="14" r:id="rId9"/>
    <sheet name="INGRESOS" sheetId="21" r:id="rId10"/>
    <sheet name="EGRESOS" sheetId="25" r:id="rId11"/>
    <sheet name="FLUJO DE FONDO a 30" sheetId="26" r:id="rId12"/>
    <sheet name="RESUMEN FLUJO DE FONDO" sheetId="24" r:id="rId13"/>
  </sheets>
  <externalReferences>
    <externalReference r:id="rId14"/>
    <externalReference r:id="rId15"/>
  </externalReferences>
  <calcPr calcId="125725"/>
</workbook>
</file>

<file path=xl/calcChain.xml><?xml version="1.0" encoding="utf-8"?>
<calcChain xmlns="http://schemas.openxmlformats.org/spreadsheetml/2006/main">
  <c r="F6" i="24"/>
  <c r="F5"/>
  <c r="E6"/>
  <c r="E5"/>
  <c r="D6"/>
  <c r="D5"/>
  <c r="E36" i="14"/>
  <c r="AF220" i="26"/>
  <c r="AG220"/>
  <c r="AH220"/>
  <c r="AI220"/>
  <c r="AJ220"/>
  <c r="AF221"/>
  <c r="AG221"/>
  <c r="AH221"/>
  <c r="AI221"/>
  <c r="AJ221"/>
  <c r="AF222"/>
  <c r="AG222"/>
  <c r="AH222"/>
  <c r="AI222"/>
  <c r="AJ222"/>
  <c r="AF223"/>
  <c r="AG223"/>
  <c r="AH223"/>
  <c r="AI223"/>
  <c r="AJ223"/>
  <c r="AF224"/>
  <c r="AG224"/>
  <c r="AH224"/>
  <c r="AI224"/>
  <c r="AJ224"/>
  <c r="AF225"/>
  <c r="AG225"/>
  <c r="AH225"/>
  <c r="AI225"/>
  <c r="AJ225"/>
  <c r="AF227"/>
  <c r="AG227"/>
  <c r="AH227"/>
  <c r="AI227"/>
  <c r="AJ227"/>
  <c r="AF228"/>
  <c r="AG228"/>
  <c r="AH228" s="1"/>
  <c r="AI228" s="1"/>
  <c r="AJ228" s="1"/>
  <c r="AF180"/>
  <c r="AG180"/>
  <c r="AH180"/>
  <c r="AI180"/>
  <c r="AJ180"/>
  <c r="AF181"/>
  <c r="AG181"/>
  <c r="AH181"/>
  <c r="AI181"/>
  <c r="AJ181"/>
  <c r="AF183"/>
  <c r="AG183"/>
  <c r="AH183"/>
  <c r="AI183"/>
  <c r="AJ183"/>
  <c r="AF184"/>
  <c r="AG184"/>
  <c r="AH184"/>
  <c r="AI184"/>
  <c r="AJ184"/>
  <c r="AF185"/>
  <c r="AG185"/>
  <c r="AH185"/>
  <c r="AI185"/>
  <c r="AJ185"/>
  <c r="AF187"/>
  <c r="AG187"/>
  <c r="AH187"/>
  <c r="AI187"/>
  <c r="AJ187"/>
  <c r="AF188"/>
  <c r="AG188"/>
  <c r="AH188"/>
  <c r="AI188"/>
  <c r="AJ188"/>
  <c r="AF189"/>
  <c r="AG189"/>
  <c r="AH189"/>
  <c r="AI189"/>
  <c r="AJ189"/>
  <c r="AF190"/>
  <c r="AG190"/>
  <c r="AH190"/>
  <c r="AI190"/>
  <c r="AJ190"/>
  <c r="AF192"/>
  <c r="AG192"/>
  <c r="AH192"/>
  <c r="AI192"/>
  <c r="AJ192"/>
  <c r="AF193"/>
  <c r="AG193" s="1"/>
  <c r="AH193" s="1"/>
  <c r="AI193" s="1"/>
  <c r="AJ193" s="1"/>
  <c r="G233"/>
  <c r="G234"/>
  <c r="AE222"/>
  <c r="AA222"/>
  <c r="W222"/>
  <c r="S222"/>
  <c r="O222"/>
  <c r="K222"/>
  <c r="G222"/>
  <c r="AE221"/>
  <c r="AD221"/>
  <c r="AC221"/>
  <c r="AC222" s="1"/>
  <c r="AB221"/>
  <c r="AA221"/>
  <c r="Z221"/>
  <c r="Y221"/>
  <c r="Y222" s="1"/>
  <c r="X221"/>
  <c r="W221"/>
  <c r="V221"/>
  <c r="U221"/>
  <c r="U222" s="1"/>
  <c r="T221"/>
  <c r="S221"/>
  <c r="R221"/>
  <c r="Q221"/>
  <c r="Q222" s="1"/>
  <c r="P221"/>
  <c r="O221"/>
  <c r="N221"/>
  <c r="M221"/>
  <c r="M222" s="1"/>
  <c r="L221"/>
  <c r="K221"/>
  <c r="J221"/>
  <c r="I221"/>
  <c r="I222" s="1"/>
  <c r="H221"/>
  <c r="G221"/>
  <c r="F221"/>
  <c r="AE220"/>
  <c r="AD220"/>
  <c r="AD222" s="1"/>
  <c r="AC220"/>
  <c r="AB220"/>
  <c r="AB222" s="1"/>
  <c r="AA220"/>
  <c r="Z220"/>
  <c r="Z222" s="1"/>
  <c r="Y220"/>
  <c r="X220"/>
  <c r="X222" s="1"/>
  <c r="W220"/>
  <c r="V220"/>
  <c r="V222" s="1"/>
  <c r="U220"/>
  <c r="T220"/>
  <c r="T222" s="1"/>
  <c r="S220"/>
  <c r="R220"/>
  <c r="R222" s="1"/>
  <c r="Q220"/>
  <c r="P220"/>
  <c r="P222" s="1"/>
  <c r="O220"/>
  <c r="N220"/>
  <c r="N222" s="1"/>
  <c r="M220"/>
  <c r="L220"/>
  <c r="L222" s="1"/>
  <c r="K220"/>
  <c r="J220"/>
  <c r="J222" s="1"/>
  <c r="I220"/>
  <c r="H220"/>
  <c r="H222" s="1"/>
  <c r="G220"/>
  <c r="F220"/>
  <c r="F222" s="1"/>
  <c r="H213"/>
  <c r="D213"/>
  <c r="E219" s="1"/>
  <c r="E222" s="1"/>
  <c r="AE183"/>
  <c r="AD183"/>
  <c r="AC183"/>
  <c r="AB183"/>
  <c r="AA183"/>
  <c r="Z183"/>
  <c r="Y183"/>
  <c r="X183"/>
  <c r="W183"/>
  <c r="V183"/>
  <c r="U183"/>
  <c r="T183"/>
  <c r="S183"/>
  <c r="R183"/>
  <c r="Q183"/>
  <c r="P183"/>
  <c r="O183"/>
  <c r="N183"/>
  <c r="M183"/>
  <c r="L183"/>
  <c r="K183"/>
  <c r="J183"/>
  <c r="I183"/>
  <c r="H183"/>
  <c r="G183"/>
  <c r="F183"/>
  <c r="E181"/>
  <c r="AE180"/>
  <c r="AE185" s="1"/>
  <c r="AD180"/>
  <c r="AD184" s="1"/>
  <c r="AC180"/>
  <c r="AC185" s="1"/>
  <c r="AB180"/>
  <c r="AB184" s="1"/>
  <c r="AA180"/>
  <c r="AA185" s="1"/>
  <c r="Z180"/>
  <c r="Z184" s="1"/>
  <c r="Y180"/>
  <c r="Y185" s="1"/>
  <c r="X180"/>
  <c r="X184" s="1"/>
  <c r="W180"/>
  <c r="W185" s="1"/>
  <c r="V180"/>
  <c r="V184" s="1"/>
  <c r="U180"/>
  <c r="U185" s="1"/>
  <c r="T180"/>
  <c r="T184" s="1"/>
  <c r="S180"/>
  <c r="S185" s="1"/>
  <c r="R180"/>
  <c r="R184" s="1"/>
  <c r="Q180"/>
  <c r="Q185" s="1"/>
  <c r="P180"/>
  <c r="P184" s="1"/>
  <c r="O180"/>
  <c r="O185" s="1"/>
  <c r="N180"/>
  <c r="N184" s="1"/>
  <c r="M180"/>
  <c r="M185" s="1"/>
  <c r="L180"/>
  <c r="L184" s="1"/>
  <c r="K180"/>
  <c r="K185" s="1"/>
  <c r="J180"/>
  <c r="J184" s="1"/>
  <c r="I180"/>
  <c r="I185" s="1"/>
  <c r="H180"/>
  <c r="H184" s="1"/>
  <c r="G180"/>
  <c r="G185" s="1"/>
  <c r="F180"/>
  <c r="F184" s="1"/>
  <c r="E171"/>
  <c r="E186" s="1"/>
  <c r="E187" s="1"/>
  <c r="AJ140"/>
  <c r="AI140"/>
  <c r="AH140"/>
  <c r="AG140"/>
  <c r="AF140"/>
  <c r="AE140"/>
  <c r="AD140"/>
  <c r="AC140"/>
  <c r="AB140"/>
  <c r="AA140"/>
  <c r="Z140"/>
  <c r="Y140"/>
  <c r="X140"/>
  <c r="W140"/>
  <c r="V140"/>
  <c r="U140"/>
  <c r="T140"/>
  <c r="S140"/>
  <c r="R140"/>
  <c r="Q140"/>
  <c r="P140"/>
  <c r="O140"/>
  <c r="N140"/>
  <c r="M140"/>
  <c r="L140"/>
  <c r="K140"/>
  <c r="J140"/>
  <c r="I140"/>
  <c r="H140"/>
  <c r="G140"/>
  <c r="F140"/>
  <c r="AJ139"/>
  <c r="AJ141" s="1"/>
  <c r="AI139"/>
  <c r="AI141" s="1"/>
  <c r="AH139"/>
  <c r="AH141" s="1"/>
  <c r="AG139"/>
  <c r="AG141" s="1"/>
  <c r="AF139"/>
  <c r="AF141" s="1"/>
  <c r="AE139"/>
  <c r="AE141" s="1"/>
  <c r="AD139"/>
  <c r="AD141" s="1"/>
  <c r="AC139"/>
  <c r="AC141" s="1"/>
  <c r="AB139"/>
  <c r="AB141" s="1"/>
  <c r="AA139"/>
  <c r="AA141" s="1"/>
  <c r="Z139"/>
  <c r="Z141" s="1"/>
  <c r="Y139"/>
  <c r="Y141" s="1"/>
  <c r="X139"/>
  <c r="X141" s="1"/>
  <c r="W139"/>
  <c r="W141" s="1"/>
  <c r="V139"/>
  <c r="V141" s="1"/>
  <c r="U139"/>
  <c r="U141" s="1"/>
  <c r="T139"/>
  <c r="T141" s="1"/>
  <c r="S139"/>
  <c r="S141" s="1"/>
  <c r="R139"/>
  <c r="R141" s="1"/>
  <c r="Q139"/>
  <c r="Q141" s="1"/>
  <c r="P139"/>
  <c r="P141" s="1"/>
  <c r="O139"/>
  <c r="O141" s="1"/>
  <c r="N139"/>
  <c r="N141" s="1"/>
  <c r="M139"/>
  <c r="M141" s="1"/>
  <c r="L139"/>
  <c r="L141" s="1"/>
  <c r="K139"/>
  <c r="K141" s="1"/>
  <c r="J139"/>
  <c r="J141" s="1"/>
  <c r="I139"/>
  <c r="I141" s="1"/>
  <c r="H139"/>
  <c r="H141" s="1"/>
  <c r="G139"/>
  <c r="G141" s="1"/>
  <c r="F139"/>
  <c r="F141" s="1"/>
  <c r="H132"/>
  <c r="D132"/>
  <c r="E138" s="1"/>
  <c r="E141" s="1"/>
  <c r="F102"/>
  <c r="E100"/>
  <c r="E107" s="1"/>
  <c r="F99"/>
  <c r="F103" s="1"/>
  <c r="G93"/>
  <c r="G102" s="1"/>
  <c r="E88"/>
  <c r="E105" s="1"/>
  <c r="E106" s="1"/>
  <c r="AJ57"/>
  <c r="AI57"/>
  <c r="AH57"/>
  <c r="AG57"/>
  <c r="AF57"/>
  <c r="AE57"/>
  <c r="AD57"/>
  <c r="AC57"/>
  <c r="AB57"/>
  <c r="AA57"/>
  <c r="Z57"/>
  <c r="Y57"/>
  <c r="X57"/>
  <c r="W57"/>
  <c r="V57"/>
  <c r="U57"/>
  <c r="T57"/>
  <c r="S57"/>
  <c r="R57"/>
  <c r="Q57"/>
  <c r="P57"/>
  <c r="O57"/>
  <c r="N57"/>
  <c r="M57"/>
  <c r="L57"/>
  <c r="K57"/>
  <c r="J57"/>
  <c r="I57"/>
  <c r="H57"/>
  <c r="G57"/>
  <c r="F57"/>
  <c r="AJ56"/>
  <c r="AJ58" s="1"/>
  <c r="AI56"/>
  <c r="AI58" s="1"/>
  <c r="AH56"/>
  <c r="AH58" s="1"/>
  <c r="AG56"/>
  <c r="AG58" s="1"/>
  <c r="AF56"/>
  <c r="AF58" s="1"/>
  <c r="AE56"/>
  <c r="AE58" s="1"/>
  <c r="AD56"/>
  <c r="AD58" s="1"/>
  <c r="AC56"/>
  <c r="AC58" s="1"/>
  <c r="AB56"/>
  <c r="AB58" s="1"/>
  <c r="AA56"/>
  <c r="AA58" s="1"/>
  <c r="Z56"/>
  <c r="Z58" s="1"/>
  <c r="Y56"/>
  <c r="Y58" s="1"/>
  <c r="X56"/>
  <c r="X58" s="1"/>
  <c r="W56"/>
  <c r="W58" s="1"/>
  <c r="V56"/>
  <c r="V58" s="1"/>
  <c r="U56"/>
  <c r="U58" s="1"/>
  <c r="T56"/>
  <c r="T58" s="1"/>
  <c r="S56"/>
  <c r="S58" s="1"/>
  <c r="R56"/>
  <c r="R58" s="1"/>
  <c r="Q56"/>
  <c r="Q58" s="1"/>
  <c r="P56"/>
  <c r="P58" s="1"/>
  <c r="O56"/>
  <c r="O58" s="1"/>
  <c r="N56"/>
  <c r="N58" s="1"/>
  <c r="M56"/>
  <c r="M58" s="1"/>
  <c r="L56"/>
  <c r="L58" s="1"/>
  <c r="K56"/>
  <c r="K58" s="1"/>
  <c r="J56"/>
  <c r="J58" s="1"/>
  <c r="I56"/>
  <c r="I58" s="1"/>
  <c r="H56"/>
  <c r="H58" s="1"/>
  <c r="G56"/>
  <c r="G58" s="1"/>
  <c r="F56"/>
  <c r="F58" s="1"/>
  <c r="H49"/>
  <c r="D49"/>
  <c r="E55" s="1"/>
  <c r="E58" s="1"/>
  <c r="F20"/>
  <c r="E18"/>
  <c r="F17"/>
  <c r="F22" s="1"/>
  <c r="G11"/>
  <c r="G17" s="1"/>
  <c r="E6"/>
  <c r="E23" s="1"/>
  <c r="E24" s="1"/>
  <c r="M46" i="9"/>
  <c r="H135" i="21"/>
  <c r="H34" i="15"/>
  <c r="H35" s="1"/>
  <c r="E5" i="6"/>
  <c r="E7"/>
  <c r="E9" s="1"/>
  <c r="E33" i="15"/>
  <c r="E31"/>
  <c r="E29"/>
  <c r="E26"/>
  <c r="E19"/>
  <c r="E16"/>
  <c r="E13"/>
  <c r="E11"/>
  <c r="E8"/>
  <c r="E32"/>
  <c r="E30"/>
  <c r="E28"/>
  <c r="E27"/>
  <c r="E25"/>
  <c r="E24"/>
  <c r="E23"/>
  <c r="E22"/>
  <c r="E21"/>
  <c r="E20"/>
  <c r="E18"/>
  <c r="E17"/>
  <c r="E15"/>
  <c r="E14"/>
  <c r="E12"/>
  <c r="E10"/>
  <c r="E9"/>
  <c r="E7"/>
  <c r="E6"/>
  <c r="E5"/>
  <c r="G5" s="1"/>
  <c r="H5" s="1"/>
  <c r="G21" i="26" l="1"/>
  <c r="G18"/>
  <c r="G25" s="1"/>
  <c r="G22"/>
  <c r="E25"/>
  <c r="F18"/>
  <c r="G20"/>
  <c r="G24" s="1"/>
  <c r="F21"/>
  <c r="F24" s="1"/>
  <c r="E142"/>
  <c r="E108"/>
  <c r="H11"/>
  <c r="H93"/>
  <c r="G99"/>
  <c r="F104"/>
  <c r="F106" s="1"/>
  <c r="F187"/>
  <c r="J187"/>
  <c r="N187"/>
  <c r="R187"/>
  <c r="V187"/>
  <c r="Z187"/>
  <c r="AD187"/>
  <c r="F100"/>
  <c r="E188"/>
  <c r="G181"/>
  <c r="I181"/>
  <c r="K181"/>
  <c r="M181"/>
  <c r="O181"/>
  <c r="Q181"/>
  <c r="S181"/>
  <c r="U181"/>
  <c r="W181"/>
  <c r="Y181"/>
  <c r="AA181"/>
  <c r="AC181"/>
  <c r="AE181"/>
  <c r="G184"/>
  <c r="G187" s="1"/>
  <c r="I184"/>
  <c r="I187" s="1"/>
  <c r="K184"/>
  <c r="K187" s="1"/>
  <c r="M184"/>
  <c r="M187" s="1"/>
  <c r="O184"/>
  <c r="O187" s="1"/>
  <c r="Q184"/>
  <c r="Q187" s="1"/>
  <c r="S184"/>
  <c r="S187" s="1"/>
  <c r="U184"/>
  <c r="U187" s="1"/>
  <c r="W184"/>
  <c r="W187" s="1"/>
  <c r="Y184"/>
  <c r="Y187" s="1"/>
  <c r="AA184"/>
  <c r="AA187" s="1"/>
  <c r="AC184"/>
  <c r="AC187" s="1"/>
  <c r="AE184"/>
  <c r="AE187" s="1"/>
  <c r="F185"/>
  <c r="H185"/>
  <c r="H187" s="1"/>
  <c r="J185"/>
  <c r="L185"/>
  <c r="L187" s="1"/>
  <c r="N185"/>
  <c r="P185"/>
  <c r="P187" s="1"/>
  <c r="R185"/>
  <c r="T185"/>
  <c r="T187" s="1"/>
  <c r="V185"/>
  <c r="X185"/>
  <c r="X187" s="1"/>
  <c r="Z185"/>
  <c r="AB185"/>
  <c r="AB187" s="1"/>
  <c r="AD185"/>
  <c r="F181"/>
  <c r="F188" s="1"/>
  <c r="H181"/>
  <c r="J181"/>
  <c r="J188" s="1"/>
  <c r="L181"/>
  <c r="N181"/>
  <c r="N188" s="1"/>
  <c r="P181"/>
  <c r="R181"/>
  <c r="R188" s="1"/>
  <c r="T181"/>
  <c r="V181"/>
  <c r="V188" s="1"/>
  <c r="X181"/>
  <c r="Z181"/>
  <c r="Z188" s="1"/>
  <c r="AB181"/>
  <c r="AD181"/>
  <c r="AD188" s="1"/>
  <c r="E11" i="6"/>
  <c r="E13" s="1"/>
  <c r="D11" i="17"/>
  <c r="D8"/>
  <c r="D6"/>
  <c r="D26"/>
  <c r="D25"/>
  <c r="D22"/>
  <c r="E16" i="16"/>
  <c r="C107" i="25"/>
  <c r="C71"/>
  <c r="C65"/>
  <c r="C64"/>
  <c r="C63"/>
  <c r="C62"/>
  <c r="C61"/>
  <c r="C60"/>
  <c r="C59"/>
  <c r="C58"/>
  <c r="C57"/>
  <c r="C56"/>
  <c r="C55"/>
  <c r="C54"/>
  <c r="C53"/>
  <c r="C52"/>
  <c r="C51"/>
  <c r="C50"/>
  <c r="C49"/>
  <c r="C48"/>
  <c r="C47"/>
  <c r="C46"/>
  <c r="C45"/>
  <c r="C44"/>
  <c r="C43"/>
  <c r="C42"/>
  <c r="C41"/>
  <c r="C40"/>
  <c r="C39"/>
  <c r="C38"/>
  <c r="C37"/>
  <c r="C36"/>
  <c r="C35"/>
  <c r="B57" i="9"/>
  <c r="B7" i="10"/>
  <c r="D35" i="25" s="1"/>
  <c r="G5" i="9"/>
  <c r="B5" i="11"/>
  <c r="G35" i="25" s="1"/>
  <c r="C109" i="21"/>
  <c r="F73"/>
  <c r="C73"/>
  <c r="G37"/>
  <c r="C37"/>
  <c r="C5" i="11"/>
  <c r="F5" s="1"/>
  <c r="F6" s="1"/>
  <c r="F7" s="1"/>
  <c r="F8" s="1"/>
  <c r="F9" s="1"/>
  <c r="F10" s="1"/>
  <c r="F11" s="1"/>
  <c r="F12" s="1"/>
  <c r="F13" s="1"/>
  <c r="F14" s="1"/>
  <c r="F15" s="1"/>
  <c r="F16" s="1"/>
  <c r="F17" s="1"/>
  <c r="F18" s="1"/>
  <c r="F19" s="1"/>
  <c r="F20" s="1"/>
  <c r="F21" s="1"/>
  <c r="F22" s="1"/>
  <c r="F23" s="1"/>
  <c r="F24" s="1"/>
  <c r="F25" s="1"/>
  <c r="F26" s="1"/>
  <c r="C6"/>
  <c r="C7" s="1"/>
  <c r="C8" s="1"/>
  <c r="C9" s="1"/>
  <c r="C10" s="1"/>
  <c r="C11" s="1"/>
  <c r="C12" s="1"/>
  <c r="C13" s="1"/>
  <c r="C14" s="1"/>
  <c r="C15" s="1"/>
  <c r="C16" s="1"/>
  <c r="C17" s="1"/>
  <c r="C18" s="1"/>
  <c r="C19" s="1"/>
  <c r="C20" s="1"/>
  <c r="C21" s="1"/>
  <c r="C22" s="1"/>
  <c r="C23" s="1"/>
  <c r="C24" s="1"/>
  <c r="C25" s="1"/>
  <c r="C26" s="1"/>
  <c r="F56" i="25" s="1"/>
  <c r="B6" i="11"/>
  <c r="B7" s="1"/>
  <c r="B8" s="1"/>
  <c r="B9" s="1"/>
  <c r="B10" s="1"/>
  <c r="B11" s="1"/>
  <c r="B12" s="1"/>
  <c r="B13" s="1"/>
  <c r="B14" s="1"/>
  <c r="B15" s="1"/>
  <c r="B16" s="1"/>
  <c r="B17" s="1"/>
  <c r="B18" s="1"/>
  <c r="B19" s="1"/>
  <c r="B20" s="1"/>
  <c r="B21" s="1"/>
  <c r="B22" s="1"/>
  <c r="B23" s="1"/>
  <c r="B24" s="1"/>
  <c r="B25" s="1"/>
  <c r="B26" s="1"/>
  <c r="G56" i="25" s="1"/>
  <c r="AD223" i="26" l="1"/>
  <c r="AD189"/>
  <c r="Z223"/>
  <c r="Z189"/>
  <c r="V223"/>
  <c r="V189"/>
  <c r="R223"/>
  <c r="R189"/>
  <c r="N223"/>
  <c r="N189"/>
  <c r="J223"/>
  <c r="J189"/>
  <c r="F223"/>
  <c r="F189"/>
  <c r="E223"/>
  <c r="E189"/>
  <c r="H99"/>
  <c r="I93"/>
  <c r="H102"/>
  <c r="H20"/>
  <c r="H17"/>
  <c r="I11"/>
  <c r="E59"/>
  <c r="E26"/>
  <c r="AE188"/>
  <c r="AA188"/>
  <c r="W188"/>
  <c r="S188"/>
  <c r="O188"/>
  <c r="K188"/>
  <c r="G188"/>
  <c r="G104"/>
  <c r="G103"/>
  <c r="G106" s="1"/>
  <c r="G100"/>
  <c r="E143"/>
  <c r="E144" s="1"/>
  <c r="E146" s="1"/>
  <c r="E109"/>
  <c r="E111" s="1"/>
  <c r="G59"/>
  <c r="G26"/>
  <c r="AB188"/>
  <c r="X188"/>
  <c r="T188"/>
  <c r="P188"/>
  <c r="L188"/>
  <c r="H188"/>
  <c r="AC188"/>
  <c r="Y188"/>
  <c r="U188"/>
  <c r="Q188"/>
  <c r="M188"/>
  <c r="I188"/>
  <c r="F107"/>
  <c r="F25"/>
  <c r="F36" i="25"/>
  <c r="F37"/>
  <c r="F38"/>
  <c r="F39"/>
  <c r="F40"/>
  <c r="F41"/>
  <c r="F42"/>
  <c r="F43"/>
  <c r="F44"/>
  <c r="F45"/>
  <c r="F46"/>
  <c r="F47"/>
  <c r="F48"/>
  <c r="F49"/>
  <c r="F50"/>
  <c r="F51"/>
  <c r="F52"/>
  <c r="F53"/>
  <c r="F54"/>
  <c r="F55"/>
  <c r="F71"/>
  <c r="D7" i="10"/>
  <c r="D37" i="21"/>
  <c r="B8" i="10"/>
  <c r="F35" i="25"/>
  <c r="G36"/>
  <c r="G37"/>
  <c r="G38"/>
  <c r="G39"/>
  <c r="G40"/>
  <c r="G41"/>
  <c r="G42"/>
  <c r="G43"/>
  <c r="G44"/>
  <c r="G45"/>
  <c r="G46"/>
  <c r="G47"/>
  <c r="G48"/>
  <c r="G49"/>
  <c r="G50"/>
  <c r="G51"/>
  <c r="G52"/>
  <c r="G53"/>
  <c r="G54"/>
  <c r="G55"/>
  <c r="F37" i="21"/>
  <c r="C72" i="25"/>
  <c r="F72"/>
  <c r="C108"/>
  <c r="B27" i="11"/>
  <c r="G57" i="25" s="1"/>
  <c r="G38" i="21"/>
  <c r="C38"/>
  <c r="F38"/>
  <c r="C74"/>
  <c r="F74"/>
  <c r="D38"/>
  <c r="C110"/>
  <c r="C27" i="11"/>
  <c r="F57" i="25" s="1"/>
  <c r="F27" i="11"/>
  <c r="F33" i="15"/>
  <c r="F32"/>
  <c r="F31"/>
  <c r="F30"/>
  <c r="F29"/>
  <c r="F28"/>
  <c r="F27"/>
  <c r="F26"/>
  <c r="F25"/>
  <c r="F24"/>
  <c r="F23"/>
  <c r="F22"/>
  <c r="F21"/>
  <c r="F20"/>
  <c r="F19"/>
  <c r="F18"/>
  <c r="F17"/>
  <c r="F16"/>
  <c r="F15"/>
  <c r="F14"/>
  <c r="F13"/>
  <c r="F12"/>
  <c r="F11"/>
  <c r="F10"/>
  <c r="F9"/>
  <c r="F8"/>
  <c r="F7"/>
  <c r="F6"/>
  <c r="F5"/>
  <c r="E147" i="26" l="1"/>
  <c r="E163"/>
  <c r="F59"/>
  <c r="F26"/>
  <c r="M189"/>
  <c r="M223"/>
  <c r="H223"/>
  <c r="H189"/>
  <c r="I189"/>
  <c r="I223"/>
  <c r="Q189"/>
  <c r="Q223"/>
  <c r="Y189"/>
  <c r="Y223"/>
  <c r="L223"/>
  <c r="L189"/>
  <c r="T223"/>
  <c r="T189"/>
  <c r="AB223"/>
  <c r="AB189"/>
  <c r="E123"/>
  <c r="E112"/>
  <c r="K223"/>
  <c r="K189"/>
  <c r="S223"/>
  <c r="S189"/>
  <c r="AA223"/>
  <c r="AA189"/>
  <c r="I17"/>
  <c r="J11"/>
  <c r="I20"/>
  <c r="I102"/>
  <c r="I99"/>
  <c r="J93"/>
  <c r="E190"/>
  <c r="E192" s="1"/>
  <c r="E224"/>
  <c r="E225" s="1"/>
  <c r="J224"/>
  <c r="J225" s="1"/>
  <c r="J190"/>
  <c r="J192" s="1"/>
  <c r="R224"/>
  <c r="R225" s="1"/>
  <c r="R227" s="1"/>
  <c r="R190"/>
  <c r="R192" s="1"/>
  <c r="Z224"/>
  <c r="Z225" s="1"/>
  <c r="Z190"/>
  <c r="Z192" s="1"/>
  <c r="G107"/>
  <c r="J227"/>
  <c r="Z227"/>
  <c r="F142"/>
  <c r="F108"/>
  <c r="U189"/>
  <c r="U223"/>
  <c r="AC189"/>
  <c r="AC223"/>
  <c r="P223"/>
  <c r="P189"/>
  <c r="X223"/>
  <c r="X189"/>
  <c r="G60"/>
  <c r="G61" s="1"/>
  <c r="G27"/>
  <c r="G29" s="1"/>
  <c r="G223"/>
  <c r="G189"/>
  <c r="O223"/>
  <c r="O189"/>
  <c r="W223"/>
  <c r="W189"/>
  <c r="AE223"/>
  <c r="AE189"/>
  <c r="E60"/>
  <c r="E61" s="1"/>
  <c r="E63" s="1"/>
  <c r="E27"/>
  <c r="E29" s="1"/>
  <c r="H22"/>
  <c r="H21"/>
  <c r="H24" s="1"/>
  <c r="H18"/>
  <c r="H103"/>
  <c r="H100"/>
  <c r="H104"/>
  <c r="F224"/>
  <c r="F225" s="1"/>
  <c r="F190"/>
  <c r="F192" s="1"/>
  <c r="N224"/>
  <c r="N225" s="1"/>
  <c r="N227" s="1"/>
  <c r="N190"/>
  <c r="N192" s="1"/>
  <c r="V224"/>
  <c r="V225" s="1"/>
  <c r="V190"/>
  <c r="V192" s="1"/>
  <c r="AD224"/>
  <c r="AD225" s="1"/>
  <c r="AD227" s="1"/>
  <c r="AD190"/>
  <c r="AD192" s="1"/>
  <c r="G63"/>
  <c r="G80" s="1"/>
  <c r="H106"/>
  <c r="E227"/>
  <c r="F227"/>
  <c r="V227"/>
  <c r="B9" i="10"/>
  <c r="D36" i="25"/>
  <c r="D8" i="10"/>
  <c r="D71" i="25"/>
  <c r="F73"/>
  <c r="C73"/>
  <c r="C109"/>
  <c r="B28" i="11"/>
  <c r="G58" i="25" s="1"/>
  <c r="F75" i="21"/>
  <c r="C75"/>
  <c r="C111"/>
  <c r="F39"/>
  <c r="C39"/>
  <c r="G39"/>
  <c r="D39"/>
  <c r="F28" i="11"/>
  <c r="C28"/>
  <c r="F58" i="25" s="1"/>
  <c r="AD243" i="26" l="1"/>
  <c r="N243"/>
  <c r="E64"/>
  <c r="E80"/>
  <c r="AH243"/>
  <c r="R243"/>
  <c r="W224"/>
  <c r="W225" s="1"/>
  <c r="W190"/>
  <c r="W192" s="1"/>
  <c r="E243"/>
  <c r="E228"/>
  <c r="AD204"/>
  <c r="V204"/>
  <c r="N204"/>
  <c r="F193"/>
  <c r="F199" s="1"/>
  <c r="F204"/>
  <c r="E41"/>
  <c r="E35"/>
  <c r="AE224"/>
  <c r="AE225" s="1"/>
  <c r="AE190"/>
  <c r="AE192" s="1"/>
  <c r="O224"/>
  <c r="O225" s="1"/>
  <c r="O190"/>
  <c r="O192" s="1"/>
  <c r="G41"/>
  <c r="P224"/>
  <c r="P225" s="1"/>
  <c r="P190"/>
  <c r="P192" s="1"/>
  <c r="AC190"/>
  <c r="AC192" s="1"/>
  <c r="AC224"/>
  <c r="AC225" s="1"/>
  <c r="AH204"/>
  <c r="Z204"/>
  <c r="R204"/>
  <c r="J204"/>
  <c r="J99"/>
  <c r="K93"/>
  <c r="J102"/>
  <c r="J20"/>
  <c r="J17"/>
  <c r="K11"/>
  <c r="S224"/>
  <c r="S225" s="1"/>
  <c r="S190"/>
  <c r="S192" s="1"/>
  <c r="AB224"/>
  <c r="AB225" s="1"/>
  <c r="AB190"/>
  <c r="AB192" s="1"/>
  <c r="L224"/>
  <c r="L225" s="1"/>
  <c r="L190"/>
  <c r="L192" s="1"/>
  <c r="Q190"/>
  <c r="Q192" s="1"/>
  <c r="Q224"/>
  <c r="Q225" s="1"/>
  <c r="H25"/>
  <c r="AE227"/>
  <c r="O227"/>
  <c r="P227"/>
  <c r="S227"/>
  <c r="AB227"/>
  <c r="L227"/>
  <c r="V243"/>
  <c r="F228"/>
  <c r="F238" s="1"/>
  <c r="F243"/>
  <c r="G224"/>
  <c r="G225" s="1"/>
  <c r="G227" s="1"/>
  <c r="G190"/>
  <c r="G192" s="1"/>
  <c r="X224"/>
  <c r="X225" s="1"/>
  <c r="X227" s="1"/>
  <c r="X190"/>
  <c r="X192" s="1"/>
  <c r="U190"/>
  <c r="U192" s="1"/>
  <c r="U224"/>
  <c r="U225" s="1"/>
  <c r="U227" s="1"/>
  <c r="F143"/>
  <c r="F144" s="1"/>
  <c r="F146" s="1"/>
  <c r="F109"/>
  <c r="F111" s="1"/>
  <c r="Z243"/>
  <c r="J243"/>
  <c r="G142"/>
  <c r="G108"/>
  <c r="E204"/>
  <c r="E193"/>
  <c r="I104"/>
  <c r="I103"/>
  <c r="I106" s="1"/>
  <c r="I100"/>
  <c r="I21"/>
  <c r="I18"/>
  <c r="I22"/>
  <c r="AA224"/>
  <c r="AA225" s="1"/>
  <c r="AA190"/>
  <c r="AA192" s="1"/>
  <c r="K224"/>
  <c r="K225" s="1"/>
  <c r="K190"/>
  <c r="K192" s="1"/>
  <c r="T224"/>
  <c r="T225" s="1"/>
  <c r="T190"/>
  <c r="T192" s="1"/>
  <c r="Y190"/>
  <c r="Y192" s="1"/>
  <c r="Y224"/>
  <c r="Y225" s="1"/>
  <c r="Y227" s="1"/>
  <c r="I190"/>
  <c r="I192" s="1"/>
  <c r="I224"/>
  <c r="I225" s="1"/>
  <c r="I227" s="1"/>
  <c r="H224"/>
  <c r="H225" s="1"/>
  <c r="H190"/>
  <c r="H192" s="1"/>
  <c r="M190"/>
  <c r="M192" s="1"/>
  <c r="M224"/>
  <c r="M225" s="1"/>
  <c r="M227" s="1"/>
  <c r="F60"/>
  <c r="F61" s="1"/>
  <c r="F27"/>
  <c r="F29" s="1"/>
  <c r="H107"/>
  <c r="W227"/>
  <c r="AC227"/>
  <c r="I24"/>
  <c r="AA227"/>
  <c r="K227"/>
  <c r="T227"/>
  <c r="Q227"/>
  <c r="H227"/>
  <c r="F63"/>
  <c r="F80" s="1"/>
  <c r="D9" i="10"/>
  <c r="D10" s="1"/>
  <c r="D11" s="1"/>
  <c r="D12" s="1"/>
  <c r="D13" s="1"/>
  <c r="D14" s="1"/>
  <c r="D15" s="1"/>
  <c r="D16" s="1"/>
  <c r="D17" s="1"/>
  <c r="D18" s="1"/>
  <c r="D19" s="1"/>
  <c r="D20" s="1"/>
  <c r="D21" s="1"/>
  <c r="D22" s="1"/>
  <c r="D23" s="1"/>
  <c r="D24" s="1"/>
  <c r="D25" s="1"/>
  <c r="D26" s="1"/>
  <c r="D27" s="1"/>
  <c r="D28" s="1"/>
  <c r="D29" s="1"/>
  <c r="D30" s="1"/>
  <c r="D31" s="1"/>
  <c r="D32" s="1"/>
  <c r="D33" s="1"/>
  <c r="D34" s="1"/>
  <c r="D35" s="1"/>
  <c r="D36" s="1"/>
  <c r="D37" s="1"/>
  <c r="D72" i="25"/>
  <c r="B10" i="10"/>
  <c r="D40" i="21" s="1"/>
  <c r="D37" i="25"/>
  <c r="F74"/>
  <c r="C74"/>
  <c r="C110"/>
  <c r="B29" i="11"/>
  <c r="G59" i="25" s="1"/>
  <c r="G40" i="21"/>
  <c r="F40"/>
  <c r="C40"/>
  <c r="C112"/>
  <c r="F76"/>
  <c r="C76"/>
  <c r="C29" i="11"/>
  <c r="F59" i="25" s="1"/>
  <c r="F29" i="11"/>
  <c r="M243" i="26" l="1"/>
  <c r="Y243"/>
  <c r="U243"/>
  <c r="F163"/>
  <c r="F147"/>
  <c r="F158" s="1"/>
  <c r="X243"/>
  <c r="G243"/>
  <c r="G228"/>
  <c r="G238" s="1"/>
  <c r="G239" s="1"/>
  <c r="I243"/>
  <c r="Q243"/>
  <c r="K243"/>
  <c r="AC243"/>
  <c r="F41"/>
  <c r="F35"/>
  <c r="H204"/>
  <c r="K204"/>
  <c r="H228"/>
  <c r="H238" s="1"/>
  <c r="H239" s="1"/>
  <c r="H243"/>
  <c r="AG243"/>
  <c r="AJ243"/>
  <c r="AA243"/>
  <c r="H142"/>
  <c r="H108"/>
  <c r="M204"/>
  <c r="I204"/>
  <c r="Y204"/>
  <c r="F112"/>
  <c r="F118" s="1"/>
  <c r="F123"/>
  <c r="X204"/>
  <c r="G204"/>
  <c r="G193"/>
  <c r="G199" s="1"/>
  <c r="G200" s="1"/>
  <c r="AB243"/>
  <c r="AI243"/>
  <c r="AF243"/>
  <c r="AE243"/>
  <c r="H59"/>
  <c r="H26"/>
  <c r="Q204"/>
  <c r="AG204"/>
  <c r="J22"/>
  <c r="J21"/>
  <c r="J18"/>
  <c r="J103"/>
  <c r="J100"/>
  <c r="J104"/>
  <c r="AC204"/>
  <c r="F200"/>
  <c r="G195"/>
  <c r="I25"/>
  <c r="I107"/>
  <c r="G194"/>
  <c r="J106"/>
  <c r="T243"/>
  <c r="W243"/>
  <c r="T204"/>
  <c r="AJ204"/>
  <c r="AA204"/>
  <c r="G143"/>
  <c r="G144" s="1"/>
  <c r="G109"/>
  <c r="G111" s="1"/>
  <c r="U204"/>
  <c r="F239"/>
  <c r="L243"/>
  <c r="S243"/>
  <c r="P243"/>
  <c r="O243"/>
  <c r="L204"/>
  <c r="AB204"/>
  <c r="S204"/>
  <c r="AI204"/>
  <c r="K17"/>
  <c r="L11"/>
  <c r="K20"/>
  <c r="K102"/>
  <c r="K99"/>
  <c r="L93"/>
  <c r="P204"/>
  <c r="AF204"/>
  <c r="O204"/>
  <c r="AE204"/>
  <c r="W204"/>
  <c r="G146"/>
  <c r="J24"/>
  <c r="F64"/>
  <c r="B11" i="10"/>
  <c r="D38" i="25"/>
  <c r="F75"/>
  <c r="C75"/>
  <c r="C111"/>
  <c r="B30" i="11"/>
  <c r="G60" i="25" s="1"/>
  <c r="F77" i="21"/>
  <c r="C77"/>
  <c r="F41"/>
  <c r="C41"/>
  <c r="G41"/>
  <c r="D41"/>
  <c r="C113"/>
  <c r="F30" i="11"/>
  <c r="C30"/>
  <c r="F60" i="25" s="1"/>
  <c r="G147" i="26" l="1"/>
  <c r="G158" s="1"/>
  <c r="G159" s="1"/>
  <c r="G163"/>
  <c r="K104"/>
  <c r="K103"/>
  <c r="K100"/>
  <c r="K21"/>
  <c r="K24" s="1"/>
  <c r="K18"/>
  <c r="K22"/>
  <c r="H143"/>
  <c r="H144" s="1"/>
  <c r="H109"/>
  <c r="H111" s="1"/>
  <c r="F159"/>
  <c r="J107"/>
  <c r="J25"/>
  <c r="H146"/>
  <c r="H193"/>
  <c r="I142"/>
  <c r="I108"/>
  <c r="G64"/>
  <c r="F75"/>
  <c r="L99"/>
  <c r="M93"/>
  <c r="L102"/>
  <c r="L20"/>
  <c r="L17"/>
  <c r="M11"/>
  <c r="G123"/>
  <c r="G112"/>
  <c r="G118" s="1"/>
  <c r="G119" s="1"/>
  <c r="I59"/>
  <c r="I26"/>
  <c r="H60"/>
  <c r="H61" s="1"/>
  <c r="H27"/>
  <c r="H29" s="1"/>
  <c r="F119"/>
  <c r="F36"/>
  <c r="G35"/>
  <c r="G36" s="1"/>
  <c r="G37" s="1"/>
  <c r="K106"/>
  <c r="H63"/>
  <c r="I228"/>
  <c r="B12" i="10"/>
  <c r="D39" i="25"/>
  <c r="C112"/>
  <c r="F76"/>
  <c r="C76"/>
  <c r="B31" i="11"/>
  <c r="G61" i="25" s="1"/>
  <c r="C114" i="21"/>
  <c r="G42"/>
  <c r="D42"/>
  <c r="F42"/>
  <c r="C42"/>
  <c r="F78"/>
  <c r="C78"/>
  <c r="C31" i="11"/>
  <c r="F61" i="25" s="1"/>
  <c r="F31" i="11"/>
  <c r="H41" i="26" l="1"/>
  <c r="H35"/>
  <c r="H36" s="1"/>
  <c r="H37" s="1"/>
  <c r="I60"/>
  <c r="I61" s="1"/>
  <c r="I27"/>
  <c r="I29" s="1"/>
  <c r="L22"/>
  <c r="L21"/>
  <c r="L18"/>
  <c r="L103"/>
  <c r="L106" s="1"/>
  <c r="L100"/>
  <c r="L104"/>
  <c r="G75"/>
  <c r="G76" s="1"/>
  <c r="H64"/>
  <c r="H199"/>
  <c r="I193"/>
  <c r="J59"/>
  <c r="J26"/>
  <c r="H112"/>
  <c r="H118" s="1"/>
  <c r="H123"/>
  <c r="I238"/>
  <c r="J228"/>
  <c r="H80"/>
  <c r="F37"/>
  <c r="M17"/>
  <c r="N11"/>
  <c r="M20"/>
  <c r="M102"/>
  <c r="M99"/>
  <c r="N93"/>
  <c r="F76"/>
  <c r="I143"/>
  <c r="I144" s="1"/>
  <c r="I109"/>
  <c r="I111" s="1"/>
  <c r="H163"/>
  <c r="H147"/>
  <c r="H158" s="1"/>
  <c r="J142"/>
  <c r="J108"/>
  <c r="I63"/>
  <c r="I80" s="1"/>
  <c r="L24"/>
  <c r="I146"/>
  <c r="K25"/>
  <c r="K107"/>
  <c r="B13" i="10"/>
  <c r="D40" i="25"/>
  <c r="F77"/>
  <c r="C77"/>
  <c r="C113"/>
  <c r="B32" i="11"/>
  <c r="G62" i="25" s="1"/>
  <c r="F79" i="21"/>
  <c r="C79"/>
  <c r="F43"/>
  <c r="C43"/>
  <c r="G43"/>
  <c r="D43"/>
  <c r="C115"/>
  <c r="F32" i="11"/>
  <c r="C32"/>
  <c r="F62" i="25" s="1"/>
  <c r="K59" i="26" l="1"/>
  <c r="K26"/>
  <c r="N20"/>
  <c r="N17"/>
  <c r="O11"/>
  <c r="K142"/>
  <c r="K108"/>
  <c r="I147"/>
  <c r="I158" s="1"/>
  <c r="I159" s="1"/>
  <c r="I163"/>
  <c r="J143"/>
  <c r="J144" s="1"/>
  <c r="J109"/>
  <c r="J111" s="1"/>
  <c r="M104"/>
  <c r="M103"/>
  <c r="M100"/>
  <c r="M21"/>
  <c r="M18"/>
  <c r="M25" s="1"/>
  <c r="M22"/>
  <c r="J238"/>
  <c r="J239" s="1"/>
  <c r="K228"/>
  <c r="J60"/>
  <c r="J61" s="1"/>
  <c r="J63" s="1"/>
  <c r="J27"/>
  <c r="J29" s="1"/>
  <c r="H200"/>
  <c r="M106"/>
  <c r="J146"/>
  <c r="M24"/>
  <c r="L107"/>
  <c r="L25"/>
  <c r="H159"/>
  <c r="I123"/>
  <c r="I112"/>
  <c r="I118" s="1"/>
  <c r="I119" s="1"/>
  <c r="N99"/>
  <c r="O93"/>
  <c r="N102"/>
  <c r="I239"/>
  <c r="H119"/>
  <c r="I199"/>
  <c r="I200" s="1"/>
  <c r="J193"/>
  <c r="I64"/>
  <c r="H75"/>
  <c r="I41"/>
  <c r="I35"/>
  <c r="I36" s="1"/>
  <c r="B14" i="10"/>
  <c r="D41" i="25"/>
  <c r="C114"/>
  <c r="F78"/>
  <c r="C78"/>
  <c r="B33" i="11"/>
  <c r="G63" i="25" s="1"/>
  <c r="C116" i="21"/>
  <c r="G44"/>
  <c r="D44"/>
  <c r="F44"/>
  <c r="C44"/>
  <c r="F80"/>
  <c r="C80"/>
  <c r="C33" i="11"/>
  <c r="F63" i="25" s="1"/>
  <c r="F33" i="11"/>
  <c r="J80" i="26" l="1"/>
  <c r="I37"/>
  <c r="L142"/>
  <c r="L108"/>
  <c r="M59"/>
  <c r="M26"/>
  <c r="O17"/>
  <c r="P11"/>
  <c r="O20"/>
  <c r="N106"/>
  <c r="M107"/>
  <c r="H76"/>
  <c r="J199"/>
  <c r="J200" s="1"/>
  <c r="K193"/>
  <c r="N103"/>
  <c r="N100"/>
  <c r="N107" s="1"/>
  <c r="N104"/>
  <c r="J163"/>
  <c r="J147"/>
  <c r="J158" s="1"/>
  <c r="J159" s="1"/>
  <c r="I75"/>
  <c r="I76" s="1"/>
  <c r="J64"/>
  <c r="O102"/>
  <c r="O99"/>
  <c r="P93"/>
  <c r="L59"/>
  <c r="L26"/>
  <c r="J41"/>
  <c r="J35"/>
  <c r="J36" s="1"/>
  <c r="J37" s="1"/>
  <c r="K238"/>
  <c r="L228"/>
  <c r="J112"/>
  <c r="J118" s="1"/>
  <c r="J123"/>
  <c r="K143"/>
  <c r="K144" s="1"/>
  <c r="K109"/>
  <c r="K111" s="1"/>
  <c r="N22"/>
  <c r="N24" s="1"/>
  <c r="N21"/>
  <c r="N18"/>
  <c r="K60"/>
  <c r="K61" s="1"/>
  <c r="K27"/>
  <c r="K29" s="1"/>
  <c r="K146"/>
  <c r="K63"/>
  <c r="K80" s="1"/>
  <c r="B15" i="10"/>
  <c r="D42" i="25"/>
  <c r="C115"/>
  <c r="F79"/>
  <c r="C79"/>
  <c r="B34" i="11"/>
  <c r="G64" i="25" s="1"/>
  <c r="F81" i="21"/>
  <c r="C81"/>
  <c r="F45"/>
  <c r="C45"/>
  <c r="G45"/>
  <c r="D45"/>
  <c r="C117"/>
  <c r="F34" i="11"/>
  <c r="C34"/>
  <c r="F64" i="25" s="1"/>
  <c r="K147" i="26" l="1"/>
  <c r="K158" s="1"/>
  <c r="K163"/>
  <c r="J119"/>
  <c r="K239"/>
  <c r="K123"/>
  <c r="K112"/>
  <c r="K118" s="1"/>
  <c r="K119" s="1"/>
  <c r="L238"/>
  <c r="L239" s="1"/>
  <c r="M228"/>
  <c r="L60"/>
  <c r="L61" s="1"/>
  <c r="L63" s="1"/>
  <c r="L80" s="1"/>
  <c r="L27"/>
  <c r="L29" s="1"/>
  <c r="O104"/>
  <c r="O103"/>
  <c r="O100"/>
  <c r="K64"/>
  <c r="J75"/>
  <c r="J76" s="1"/>
  <c r="M142"/>
  <c r="M108"/>
  <c r="O21"/>
  <c r="O18"/>
  <c r="O22"/>
  <c r="L143"/>
  <c r="L144" s="1"/>
  <c r="L109"/>
  <c r="L111" s="1"/>
  <c r="N25"/>
  <c r="O106"/>
  <c r="O24"/>
  <c r="L146"/>
  <c r="K41"/>
  <c r="K35"/>
  <c r="K36" s="1"/>
  <c r="P99"/>
  <c r="Q93"/>
  <c r="P102"/>
  <c r="N142"/>
  <c r="N108"/>
  <c r="K199"/>
  <c r="L193"/>
  <c r="P20"/>
  <c r="P17"/>
  <c r="Q11"/>
  <c r="M60"/>
  <c r="M61" s="1"/>
  <c r="M63" s="1"/>
  <c r="M80" s="1"/>
  <c r="M27"/>
  <c r="M29" s="1"/>
  <c r="B16" i="10"/>
  <c r="D43" i="25"/>
  <c r="F80"/>
  <c r="C80"/>
  <c r="C116"/>
  <c r="B35" i="11"/>
  <c r="G65" i="25" s="1"/>
  <c r="C118" i="21"/>
  <c r="G46"/>
  <c r="D46"/>
  <c r="F46"/>
  <c r="C46"/>
  <c r="F82"/>
  <c r="C82"/>
  <c r="C35" i="11"/>
  <c r="F65" i="25" s="1"/>
  <c r="F35" i="11"/>
  <c r="M41" i="26" l="1"/>
  <c r="Q17"/>
  <c r="R11"/>
  <c r="Q20"/>
  <c r="K200"/>
  <c r="P103"/>
  <c r="P100"/>
  <c r="P107" s="1"/>
  <c r="P104"/>
  <c r="K37"/>
  <c r="L163"/>
  <c r="L147"/>
  <c r="L158" s="1"/>
  <c r="L159" s="1"/>
  <c r="N59"/>
  <c r="N26"/>
  <c r="M143"/>
  <c r="M144" s="1"/>
  <c r="M109"/>
  <c r="M111" s="1"/>
  <c r="K75"/>
  <c r="L64"/>
  <c r="L41"/>
  <c r="L35"/>
  <c r="L36" s="1"/>
  <c r="L37" s="1"/>
  <c r="M238"/>
  <c r="M239" s="1"/>
  <c r="N228"/>
  <c r="K159"/>
  <c r="O107"/>
  <c r="P106"/>
  <c r="O25"/>
  <c r="M146"/>
  <c r="P22"/>
  <c r="P24" s="1"/>
  <c r="P21"/>
  <c r="P18"/>
  <c r="L199"/>
  <c r="L200" s="1"/>
  <c r="M193"/>
  <c r="N143"/>
  <c r="N144" s="1"/>
  <c r="N109"/>
  <c r="N111" s="1"/>
  <c r="Q102"/>
  <c r="Q99"/>
  <c r="R93"/>
  <c r="L112"/>
  <c r="L118" s="1"/>
  <c r="L119" s="1"/>
  <c r="L123"/>
  <c r="N146"/>
  <c r="B17" i="10"/>
  <c r="D44" i="25"/>
  <c r="C117"/>
  <c r="F81"/>
  <c r="C81"/>
  <c r="F83" i="21"/>
  <c r="C83"/>
  <c r="F47"/>
  <c r="C47"/>
  <c r="G47"/>
  <c r="D47"/>
  <c r="C119"/>
  <c r="N163" i="26" l="1"/>
  <c r="Q104"/>
  <c r="Q103"/>
  <c r="Q106" s="1"/>
  <c r="Q100"/>
  <c r="O59"/>
  <c r="O26"/>
  <c r="N238"/>
  <c r="O228"/>
  <c r="M123"/>
  <c r="M112"/>
  <c r="M118" s="1"/>
  <c r="R99"/>
  <c r="S93"/>
  <c r="R102"/>
  <c r="M147"/>
  <c r="M158" s="1"/>
  <c r="M163"/>
  <c r="O142"/>
  <c r="O108"/>
  <c r="K76"/>
  <c r="R20"/>
  <c r="R17"/>
  <c r="S11"/>
  <c r="P25"/>
  <c r="M35"/>
  <c r="M36" s="1"/>
  <c r="M37" s="1"/>
  <c r="N112"/>
  <c r="N118" s="1"/>
  <c r="N119" s="1"/>
  <c r="N123"/>
  <c r="M199"/>
  <c r="N193"/>
  <c r="M64"/>
  <c r="L75"/>
  <c r="L76" s="1"/>
  <c r="N60"/>
  <c r="N61" s="1"/>
  <c r="N27"/>
  <c r="N29" s="1"/>
  <c r="P142"/>
  <c r="P108"/>
  <c r="Q21"/>
  <c r="Q18"/>
  <c r="Q25" s="1"/>
  <c r="Q22"/>
  <c r="N63"/>
  <c r="N80" s="1"/>
  <c r="Q24"/>
  <c r="B18" i="10"/>
  <c r="D45" i="25"/>
  <c r="F82"/>
  <c r="C82"/>
  <c r="C118"/>
  <c r="C120" i="21"/>
  <c r="G48"/>
  <c r="D48"/>
  <c r="F48"/>
  <c r="C48"/>
  <c r="F84"/>
  <c r="C84"/>
  <c r="P143" i="26" l="1"/>
  <c r="P144" s="1"/>
  <c r="P109"/>
  <c r="P111" s="1"/>
  <c r="M75"/>
  <c r="N64"/>
  <c r="M200"/>
  <c r="P59"/>
  <c r="P26"/>
  <c r="R22"/>
  <c r="R21"/>
  <c r="R18"/>
  <c r="O143"/>
  <c r="O144" s="1"/>
  <c r="O109"/>
  <c r="O111" s="1"/>
  <c r="M159"/>
  <c r="N41"/>
  <c r="N35"/>
  <c r="N36" s="1"/>
  <c r="N199"/>
  <c r="N200" s="1"/>
  <c r="O193"/>
  <c r="S17"/>
  <c r="T11"/>
  <c r="S20"/>
  <c r="R103"/>
  <c r="R100"/>
  <c r="R107" s="1"/>
  <c r="R104"/>
  <c r="N239"/>
  <c r="R24"/>
  <c r="R106"/>
  <c r="Q107"/>
  <c r="Q59"/>
  <c r="Q26"/>
  <c r="S102"/>
  <c r="S99"/>
  <c r="T93"/>
  <c r="M119"/>
  <c r="O238"/>
  <c r="O239" s="1"/>
  <c r="P228"/>
  <c r="O60"/>
  <c r="O61" s="1"/>
  <c r="O27"/>
  <c r="O29" s="1"/>
  <c r="P146"/>
  <c r="O146"/>
  <c r="O63"/>
  <c r="O80" s="1"/>
  <c r="N147"/>
  <c r="N158" s="1"/>
  <c r="N159" s="1"/>
  <c r="B19" i="10"/>
  <c r="D46" i="25"/>
  <c r="C119"/>
  <c r="F83"/>
  <c r="C83"/>
  <c r="F85" i="21"/>
  <c r="C85"/>
  <c r="F49"/>
  <c r="C49"/>
  <c r="G49"/>
  <c r="D49"/>
  <c r="C121"/>
  <c r="Q142" i="26" l="1"/>
  <c r="Q108"/>
  <c r="R142"/>
  <c r="R108"/>
  <c r="S21"/>
  <c r="S18"/>
  <c r="S25" s="1"/>
  <c r="S22"/>
  <c r="P60"/>
  <c r="P61" s="1"/>
  <c r="P27"/>
  <c r="P29" s="1"/>
  <c r="M76"/>
  <c r="S24"/>
  <c r="P63"/>
  <c r="P80" s="1"/>
  <c r="O147"/>
  <c r="O158" s="1"/>
  <c r="O159" s="1"/>
  <c r="O163"/>
  <c r="O41"/>
  <c r="O35"/>
  <c r="O36" s="1"/>
  <c r="O37" s="1"/>
  <c r="P238"/>
  <c r="P239" s="1"/>
  <c r="Q228"/>
  <c r="T99"/>
  <c r="U93"/>
  <c r="T102"/>
  <c r="P163"/>
  <c r="P147"/>
  <c r="P158" s="1"/>
  <c r="P159" s="1"/>
  <c r="S104"/>
  <c r="S106" s="1"/>
  <c r="S103"/>
  <c r="S100"/>
  <c r="Q60"/>
  <c r="Q61" s="1"/>
  <c r="Q27"/>
  <c r="Q29" s="1"/>
  <c r="T20"/>
  <c r="T17"/>
  <c r="U11"/>
  <c r="O199"/>
  <c r="O200" s="1"/>
  <c r="P193"/>
  <c r="N37"/>
  <c r="O123"/>
  <c r="O112"/>
  <c r="O118" s="1"/>
  <c r="O119" s="1"/>
  <c r="O64"/>
  <c r="N75"/>
  <c r="N76" s="1"/>
  <c r="P112"/>
  <c r="P118" s="1"/>
  <c r="P119" s="1"/>
  <c r="P123"/>
  <c r="Q63"/>
  <c r="Q80" s="1"/>
  <c r="R25"/>
  <c r="B20" i="10"/>
  <c r="D47" i="25"/>
  <c r="F84"/>
  <c r="C84"/>
  <c r="C120"/>
  <c r="C122" i="21"/>
  <c r="G50"/>
  <c r="D50"/>
  <c r="F50"/>
  <c r="C50"/>
  <c r="F86"/>
  <c r="C86"/>
  <c r="Q41" i="26" l="1"/>
  <c r="Q35"/>
  <c r="Q36" s="1"/>
  <c r="Q37" s="1"/>
  <c r="R59"/>
  <c r="R26"/>
  <c r="P199"/>
  <c r="P200" s="1"/>
  <c r="Q193"/>
  <c r="U17"/>
  <c r="V11"/>
  <c r="U20"/>
  <c r="T103"/>
  <c r="T100"/>
  <c r="T107" s="1"/>
  <c r="T104"/>
  <c r="P41"/>
  <c r="P35"/>
  <c r="P36" s="1"/>
  <c r="P37" s="1"/>
  <c r="Q143"/>
  <c r="Q144" s="1"/>
  <c r="Q109"/>
  <c r="Q111" s="1"/>
  <c r="T106"/>
  <c r="Q146"/>
  <c r="O75"/>
  <c r="O76" s="1"/>
  <c r="P64"/>
  <c r="T22"/>
  <c r="T21"/>
  <c r="T24" s="1"/>
  <c r="T18"/>
  <c r="U102"/>
  <c r="U99"/>
  <c r="V93"/>
  <c r="Q238"/>
  <c r="Q239" s="1"/>
  <c r="R228"/>
  <c r="S59"/>
  <c r="S26"/>
  <c r="R143"/>
  <c r="R144" s="1"/>
  <c r="R146" s="1"/>
  <c r="R109"/>
  <c r="R111" s="1"/>
  <c r="S107"/>
  <c r="B21" i="10"/>
  <c r="D48" i="25"/>
  <c r="C121"/>
  <c r="F85"/>
  <c r="C85"/>
  <c r="F51" i="21"/>
  <c r="C51"/>
  <c r="G51"/>
  <c r="D51"/>
  <c r="C123"/>
  <c r="F87"/>
  <c r="C87"/>
  <c r="R163" i="26" l="1"/>
  <c r="R238"/>
  <c r="R239" s="1"/>
  <c r="S228"/>
  <c r="Q64"/>
  <c r="P75"/>
  <c r="P76" s="1"/>
  <c r="U21"/>
  <c r="U18"/>
  <c r="U25" s="1"/>
  <c r="U22"/>
  <c r="R123"/>
  <c r="S60"/>
  <c r="S61" s="1"/>
  <c r="S27"/>
  <c r="S29" s="1"/>
  <c r="U104"/>
  <c r="U103"/>
  <c r="U100"/>
  <c r="Q123"/>
  <c r="Q112"/>
  <c r="Q118" s="1"/>
  <c r="Q119" s="1"/>
  <c r="V20"/>
  <c r="V17"/>
  <c r="W11"/>
  <c r="Q199"/>
  <c r="Q200" s="1"/>
  <c r="R193"/>
  <c r="R60"/>
  <c r="R61" s="1"/>
  <c r="R27"/>
  <c r="R29" s="1"/>
  <c r="U106"/>
  <c r="U24"/>
  <c r="S63"/>
  <c r="S80" s="1"/>
  <c r="T25"/>
  <c r="R63"/>
  <c r="R80" s="1"/>
  <c r="S142"/>
  <c r="S108"/>
  <c r="V99"/>
  <c r="W93"/>
  <c r="V102"/>
  <c r="Q147"/>
  <c r="Q158" s="1"/>
  <c r="Q159" s="1"/>
  <c r="Q163"/>
  <c r="T142"/>
  <c r="T108"/>
  <c r="B22" i="10"/>
  <c r="D49" i="25"/>
  <c r="F86"/>
  <c r="C86"/>
  <c r="C122"/>
  <c r="F88" i="21"/>
  <c r="C88"/>
  <c r="C124"/>
  <c r="G52"/>
  <c r="D52"/>
  <c r="F52"/>
  <c r="C52"/>
  <c r="V103" i="26" l="1"/>
  <c r="V100"/>
  <c r="V107" s="1"/>
  <c r="V104"/>
  <c r="V22"/>
  <c r="V24" s="1"/>
  <c r="V21"/>
  <c r="V18"/>
  <c r="T143"/>
  <c r="T144" s="1"/>
  <c r="T109"/>
  <c r="T111" s="1"/>
  <c r="W102"/>
  <c r="W99"/>
  <c r="X93"/>
  <c r="S143"/>
  <c r="S144" s="1"/>
  <c r="S109"/>
  <c r="S111" s="1"/>
  <c r="T59"/>
  <c r="T26"/>
  <c r="R41"/>
  <c r="R35"/>
  <c r="R36" s="1"/>
  <c r="R37" s="1"/>
  <c r="R199"/>
  <c r="R200" s="1"/>
  <c r="S193"/>
  <c r="W17"/>
  <c r="X11"/>
  <c r="W20"/>
  <c r="S41"/>
  <c r="Q75"/>
  <c r="Q76" s="1"/>
  <c r="R64"/>
  <c r="U107"/>
  <c r="T146"/>
  <c r="S146"/>
  <c r="U59"/>
  <c r="U26"/>
  <c r="S238"/>
  <c r="S239" s="1"/>
  <c r="T228"/>
  <c r="V106"/>
  <c r="R112"/>
  <c r="R118" s="1"/>
  <c r="R119" s="1"/>
  <c r="R147"/>
  <c r="R158" s="1"/>
  <c r="R159" s="1"/>
  <c r="B23" i="10"/>
  <c r="D50" i="25"/>
  <c r="C123"/>
  <c r="F87"/>
  <c r="C87"/>
  <c r="F53" i="21"/>
  <c r="C53"/>
  <c r="G53"/>
  <c r="D53"/>
  <c r="C125"/>
  <c r="F89"/>
  <c r="C89"/>
  <c r="T238" i="26" l="1"/>
  <c r="T239" s="1"/>
  <c r="U228"/>
  <c r="U142"/>
  <c r="U108"/>
  <c r="X20"/>
  <c r="X17"/>
  <c r="Y11"/>
  <c r="S199"/>
  <c r="S200" s="1"/>
  <c r="T193"/>
  <c r="T123"/>
  <c r="T163"/>
  <c r="S64"/>
  <c r="R75"/>
  <c r="R76" s="1"/>
  <c r="W21"/>
  <c r="W18"/>
  <c r="W22"/>
  <c r="S123"/>
  <c r="S112"/>
  <c r="S118" s="1"/>
  <c r="S119" s="1"/>
  <c r="X99"/>
  <c r="Y93"/>
  <c r="X102"/>
  <c r="S35"/>
  <c r="S36" s="1"/>
  <c r="S37" s="1"/>
  <c r="W24"/>
  <c r="U60"/>
  <c r="U61" s="1"/>
  <c r="U63" s="1"/>
  <c r="U80" s="1"/>
  <c r="U27"/>
  <c r="U29" s="1"/>
  <c r="S147"/>
  <c r="S158" s="1"/>
  <c r="S159" s="1"/>
  <c r="S163"/>
  <c r="T60"/>
  <c r="T61" s="1"/>
  <c r="T63" s="1"/>
  <c r="T80" s="1"/>
  <c r="T27"/>
  <c r="T29" s="1"/>
  <c r="W104"/>
  <c r="W103"/>
  <c r="W106" s="1"/>
  <c r="W100"/>
  <c r="V142"/>
  <c r="V108"/>
  <c r="V25"/>
  <c r="B24" i="10"/>
  <c r="D51" i="25"/>
  <c r="F88"/>
  <c r="C88"/>
  <c r="C124"/>
  <c r="F90" i="21"/>
  <c r="C90"/>
  <c r="C126"/>
  <c r="G54"/>
  <c r="D54"/>
  <c r="F54"/>
  <c r="C54"/>
  <c r="V59" i="26" l="1"/>
  <c r="V26"/>
  <c r="Y17"/>
  <c r="Z11"/>
  <c r="Y20"/>
  <c r="V143"/>
  <c r="V144" s="1"/>
  <c r="V109"/>
  <c r="V111" s="1"/>
  <c r="T41"/>
  <c r="T35"/>
  <c r="T36" s="1"/>
  <c r="T37" s="1"/>
  <c r="U41"/>
  <c r="U35"/>
  <c r="U36" s="1"/>
  <c r="U37" s="1"/>
  <c r="Y102"/>
  <c r="Y99"/>
  <c r="Z93"/>
  <c r="S75"/>
  <c r="S76" s="1"/>
  <c r="T64"/>
  <c r="X22"/>
  <c r="X24" s="1"/>
  <c r="X21"/>
  <c r="X18"/>
  <c r="U143"/>
  <c r="U144" s="1"/>
  <c r="U109"/>
  <c r="U111" s="1"/>
  <c r="W25"/>
  <c r="V146"/>
  <c r="T112"/>
  <c r="T118" s="1"/>
  <c r="T119" s="1"/>
  <c r="U146"/>
  <c r="X103"/>
  <c r="X100"/>
  <c r="X107" s="1"/>
  <c r="X104"/>
  <c r="T199"/>
  <c r="T200" s="1"/>
  <c r="U193"/>
  <c r="U238"/>
  <c r="U239" s="1"/>
  <c r="V228"/>
  <c r="W107"/>
  <c r="X106"/>
  <c r="T147"/>
  <c r="T158" s="1"/>
  <c r="T159" s="1"/>
  <c r="B25" i="10"/>
  <c r="D52" i="25"/>
  <c r="C125"/>
  <c r="F89"/>
  <c r="C89"/>
  <c r="F55" i="21"/>
  <c r="C55"/>
  <c r="G55"/>
  <c r="D55"/>
  <c r="F91"/>
  <c r="C91"/>
  <c r="C127"/>
  <c r="X142" i="26" l="1"/>
  <c r="X108"/>
  <c r="V163"/>
  <c r="Y104"/>
  <c r="Y103"/>
  <c r="Y106" s="1"/>
  <c r="Y100"/>
  <c r="V238"/>
  <c r="V239" s="1"/>
  <c r="W228"/>
  <c r="U199"/>
  <c r="U200" s="1"/>
  <c r="V193"/>
  <c r="W59"/>
  <c r="W26"/>
  <c r="U64"/>
  <c r="T75"/>
  <c r="T76" s="1"/>
  <c r="Z99"/>
  <c r="AA93"/>
  <c r="Z102"/>
  <c r="Z20"/>
  <c r="Z17"/>
  <c r="AA11"/>
  <c r="V60"/>
  <c r="V61" s="1"/>
  <c r="V27"/>
  <c r="V29" s="1"/>
  <c r="X25"/>
  <c r="V63"/>
  <c r="V80" s="1"/>
  <c r="W142"/>
  <c r="W108"/>
  <c r="U147"/>
  <c r="U158" s="1"/>
  <c r="U159" s="1"/>
  <c r="U163"/>
  <c r="U123"/>
  <c r="U112"/>
  <c r="U118" s="1"/>
  <c r="U119" s="1"/>
  <c r="V112"/>
  <c r="V118" s="1"/>
  <c r="V119" s="1"/>
  <c r="V123"/>
  <c r="Y21"/>
  <c r="Y24" s="1"/>
  <c r="Y18"/>
  <c r="Y22"/>
  <c r="B26" i="10"/>
  <c r="D53" i="25"/>
  <c r="F90"/>
  <c r="C90"/>
  <c r="C126"/>
  <c r="C128" i="21"/>
  <c r="F92"/>
  <c r="C92"/>
  <c r="G56"/>
  <c r="D56"/>
  <c r="F56"/>
  <c r="C56"/>
  <c r="V147" i="26" l="1"/>
  <c r="V158" s="1"/>
  <c r="V159" s="1"/>
  <c r="V41"/>
  <c r="V35"/>
  <c r="V36" s="1"/>
  <c r="V37" s="1"/>
  <c r="AA17"/>
  <c r="AB11"/>
  <c r="AA20"/>
  <c r="AA102"/>
  <c r="AA99"/>
  <c r="AB93"/>
  <c r="W60"/>
  <c r="W61" s="1"/>
  <c r="W63" s="1"/>
  <c r="W80" s="1"/>
  <c r="W27"/>
  <c r="W29" s="1"/>
  <c r="X143"/>
  <c r="X144" s="1"/>
  <c r="X109"/>
  <c r="X111" s="1"/>
  <c r="W143"/>
  <c r="W144" s="1"/>
  <c r="W109"/>
  <c r="W111" s="1"/>
  <c r="X59"/>
  <c r="X26"/>
  <c r="Z22"/>
  <c r="Z21"/>
  <c r="Z24" s="1"/>
  <c r="Z18"/>
  <c r="Z103"/>
  <c r="Z100"/>
  <c r="Z104"/>
  <c r="U75"/>
  <c r="U76" s="1"/>
  <c r="V64"/>
  <c r="V199"/>
  <c r="V200" s="1"/>
  <c r="W193"/>
  <c r="W238"/>
  <c r="W239" s="1"/>
  <c r="G235" s="1"/>
  <c r="X228"/>
  <c r="X146"/>
  <c r="Y25"/>
  <c r="W146"/>
  <c r="Z106"/>
  <c r="Y107"/>
  <c r="B27" i="10"/>
  <c r="D54" i="25"/>
  <c r="C127"/>
  <c r="F91"/>
  <c r="C91"/>
  <c r="F57" i="21"/>
  <c r="C57"/>
  <c r="G57"/>
  <c r="D57"/>
  <c r="F93"/>
  <c r="C93"/>
  <c r="C129"/>
  <c r="W123" i="26" l="1"/>
  <c r="W112"/>
  <c r="W118" s="1"/>
  <c r="W119" s="1"/>
  <c r="X123"/>
  <c r="W41"/>
  <c r="W35"/>
  <c r="W36" s="1"/>
  <c r="W37" s="1"/>
  <c r="AB99"/>
  <c r="AC93"/>
  <c r="AB102"/>
  <c r="AB20"/>
  <c r="AB17"/>
  <c r="AC11"/>
  <c r="Z107"/>
  <c r="Z25"/>
  <c r="Y142"/>
  <c r="Y108"/>
  <c r="W147"/>
  <c r="W158" s="1"/>
  <c r="W163"/>
  <c r="X163"/>
  <c r="X147"/>
  <c r="X158" s="1"/>
  <c r="X159" s="1"/>
  <c r="Y59"/>
  <c r="Y26"/>
  <c r="X238"/>
  <c r="X239" s="1"/>
  <c r="Y228"/>
  <c r="W199"/>
  <c r="W200" s="1"/>
  <c r="X193"/>
  <c r="W64"/>
  <c r="V75"/>
  <c r="V76" s="1"/>
  <c r="X60"/>
  <c r="X61" s="1"/>
  <c r="X27"/>
  <c r="X29" s="1"/>
  <c r="AA104"/>
  <c r="AA103"/>
  <c r="AA106" s="1"/>
  <c r="AA100"/>
  <c r="AA21"/>
  <c r="AA18"/>
  <c r="AA25" s="1"/>
  <c r="AA22"/>
  <c r="X63"/>
  <c r="X80" s="1"/>
  <c r="AA24"/>
  <c r="B28" i="10"/>
  <c r="D55" i="25"/>
  <c r="F92"/>
  <c r="C92"/>
  <c r="C128"/>
  <c r="C130" i="21"/>
  <c r="F94"/>
  <c r="C94"/>
  <c r="G58"/>
  <c r="D58"/>
  <c r="F58"/>
  <c r="C58"/>
  <c r="W75" i="26" l="1"/>
  <c r="W76" s="1"/>
  <c r="X64"/>
  <c r="Y143"/>
  <c r="Y144" s="1"/>
  <c r="Y109"/>
  <c r="Y111" s="1"/>
  <c r="Z59"/>
  <c r="Z26"/>
  <c r="AC17"/>
  <c r="AD11"/>
  <c r="AC20"/>
  <c r="AC102"/>
  <c r="AC99"/>
  <c r="AD93"/>
  <c r="X41"/>
  <c r="X35"/>
  <c r="X36" s="1"/>
  <c r="X37" s="1"/>
  <c r="X199"/>
  <c r="X200" s="1"/>
  <c r="Y193"/>
  <c r="Y238"/>
  <c r="Y239" s="1"/>
  <c r="Z228"/>
  <c r="Y60"/>
  <c r="Y61" s="1"/>
  <c r="Y63" s="1"/>
  <c r="Y80" s="1"/>
  <c r="Y27"/>
  <c r="Y29" s="1"/>
  <c r="W159"/>
  <c r="G154" s="1"/>
  <c r="Z142"/>
  <c r="Z108"/>
  <c r="AB22"/>
  <c r="AB21"/>
  <c r="AB24" s="1"/>
  <c r="AB18"/>
  <c r="AB103"/>
  <c r="AB100"/>
  <c r="AB104"/>
  <c r="AA107"/>
  <c r="Y146"/>
  <c r="AB106"/>
  <c r="X112"/>
  <c r="X118" s="1"/>
  <c r="X119" s="1"/>
  <c r="AA59"/>
  <c r="AA26"/>
  <c r="B29" i="10"/>
  <c r="D56" i="25"/>
  <c r="C129"/>
  <c r="F93"/>
  <c r="C93"/>
  <c r="F59" i="21"/>
  <c r="C59"/>
  <c r="G59"/>
  <c r="D59"/>
  <c r="F95"/>
  <c r="C95"/>
  <c r="C131"/>
  <c r="AA60" i="26" l="1"/>
  <c r="AA61" s="1"/>
  <c r="AA27"/>
  <c r="AA29" s="1"/>
  <c r="AA142"/>
  <c r="AA108"/>
  <c r="Y41"/>
  <c r="Y35"/>
  <c r="Y36" s="1"/>
  <c r="Y37" s="1"/>
  <c r="G33" s="1"/>
  <c r="Z238"/>
  <c r="Z239" s="1"/>
  <c r="AA228"/>
  <c r="Y199"/>
  <c r="Y200" s="1"/>
  <c r="Z193"/>
  <c r="AD99"/>
  <c r="AE93"/>
  <c r="AD102"/>
  <c r="AD20"/>
  <c r="AD17"/>
  <c r="AE11"/>
  <c r="Z60"/>
  <c r="Z61" s="1"/>
  <c r="Z27"/>
  <c r="Z29" s="1"/>
  <c r="AB107"/>
  <c r="AB25"/>
  <c r="Z63"/>
  <c r="Z80" s="1"/>
  <c r="Y147"/>
  <c r="Y158" s="1"/>
  <c r="Y159" s="1"/>
  <c r="Y163"/>
  <c r="Z143"/>
  <c r="Z144" s="1"/>
  <c r="Z109"/>
  <c r="Z111" s="1"/>
  <c r="AC104"/>
  <c r="AC103"/>
  <c r="AC106" s="1"/>
  <c r="AC100"/>
  <c r="AC21"/>
  <c r="AC18"/>
  <c r="AC22"/>
  <c r="Y123"/>
  <c r="Y112"/>
  <c r="Y118" s="1"/>
  <c r="Y119" s="1"/>
  <c r="G115" s="1"/>
  <c r="Y64"/>
  <c r="X75"/>
  <c r="X76" s="1"/>
  <c r="AA63"/>
  <c r="AA80" s="1"/>
  <c r="Z146"/>
  <c r="AC24"/>
  <c r="B30" i="10"/>
  <c r="D57" i="25"/>
  <c r="F94"/>
  <c r="C94"/>
  <c r="C130"/>
  <c r="C132" i="21"/>
  <c r="F96"/>
  <c r="C96"/>
  <c r="G60"/>
  <c r="D60"/>
  <c r="F60"/>
  <c r="C60"/>
  <c r="Z112" i="26" l="1"/>
  <c r="Z118" s="1"/>
  <c r="Z119" s="1"/>
  <c r="Z123"/>
  <c r="AB59"/>
  <c r="AB26"/>
  <c r="Z41"/>
  <c r="Z35"/>
  <c r="Z36" s="1"/>
  <c r="Z37" s="1"/>
  <c r="AE17"/>
  <c r="AF11"/>
  <c r="AE20"/>
  <c r="AE102"/>
  <c r="AE99"/>
  <c r="AF93"/>
  <c r="Z199"/>
  <c r="Z200" s="1"/>
  <c r="AA193"/>
  <c r="AA238"/>
  <c r="AA239" s="1"/>
  <c r="AB228"/>
  <c r="AA143"/>
  <c r="AA144" s="1"/>
  <c r="AA146" s="1"/>
  <c r="AA109"/>
  <c r="AA111" s="1"/>
  <c r="Z163"/>
  <c r="Z147"/>
  <c r="Z158" s="1"/>
  <c r="Z159" s="1"/>
  <c r="Y75"/>
  <c r="Y76" s="1"/>
  <c r="Z64"/>
  <c r="AB142"/>
  <c r="AB108"/>
  <c r="AD22"/>
  <c r="AD21"/>
  <c r="AD24" s="1"/>
  <c r="AD18"/>
  <c r="AD103"/>
  <c r="AD106" s="1"/>
  <c r="AD100"/>
  <c r="AD104"/>
  <c r="AA41"/>
  <c r="AA35"/>
  <c r="AA36" s="1"/>
  <c r="AA37" s="1"/>
  <c r="AC25"/>
  <c r="AC107"/>
  <c r="B31" i="10"/>
  <c r="D58" i="25"/>
  <c r="C131"/>
  <c r="F95"/>
  <c r="C95"/>
  <c r="F61" i="21"/>
  <c r="C61"/>
  <c r="G61"/>
  <c r="D61"/>
  <c r="F97"/>
  <c r="C97"/>
  <c r="C133"/>
  <c r="AA147" i="26" l="1"/>
  <c r="AA158" s="1"/>
  <c r="AA159" s="1"/>
  <c r="AA163"/>
  <c r="AE104"/>
  <c r="AE103"/>
  <c r="AE106" s="1"/>
  <c r="AE100"/>
  <c r="AE21"/>
  <c r="AE18"/>
  <c r="AE22"/>
  <c r="AC59"/>
  <c r="AC26"/>
  <c r="AA64"/>
  <c r="Z75"/>
  <c r="Z76" s="1"/>
  <c r="AA123"/>
  <c r="AA112"/>
  <c r="AA118" s="1"/>
  <c r="AA119" s="1"/>
  <c r="AB238"/>
  <c r="AB239" s="1"/>
  <c r="AC228"/>
  <c r="AA199"/>
  <c r="AA200" s="1"/>
  <c r="AB193"/>
  <c r="AF99"/>
  <c r="AG93"/>
  <c r="AF102"/>
  <c r="AF20"/>
  <c r="AF17"/>
  <c r="AG11"/>
  <c r="AB60"/>
  <c r="AB61" s="1"/>
  <c r="AB27"/>
  <c r="AB29" s="1"/>
  <c r="AD107"/>
  <c r="AD25"/>
  <c r="AB63"/>
  <c r="AB80" s="1"/>
  <c r="AC142"/>
  <c r="AC108"/>
  <c r="AB143"/>
  <c r="AB144" s="1"/>
  <c r="AB146" s="1"/>
  <c r="AB109"/>
  <c r="AB111" s="1"/>
  <c r="AE24"/>
  <c r="B32" i="10"/>
  <c r="D59" i="25"/>
  <c r="F96"/>
  <c r="C96"/>
  <c r="C132"/>
  <c r="C134" i="21"/>
  <c r="F98"/>
  <c r="C98"/>
  <c r="G62"/>
  <c r="D62"/>
  <c r="F62"/>
  <c r="C62"/>
  <c r="AB163" i="26" l="1"/>
  <c r="AB147"/>
  <c r="AB158" s="1"/>
  <c r="AB159" s="1"/>
  <c r="AD59"/>
  <c r="AD26"/>
  <c r="AA75"/>
  <c r="AA76" s="1"/>
  <c r="AB64"/>
  <c r="AB112"/>
  <c r="AB118" s="1"/>
  <c r="AB119" s="1"/>
  <c r="AB123"/>
  <c r="AC143"/>
  <c r="AC144" s="1"/>
  <c r="AC109"/>
  <c r="AC111" s="1"/>
  <c r="AD142"/>
  <c r="AD108"/>
  <c r="AB41"/>
  <c r="AB35"/>
  <c r="AB36" s="1"/>
  <c r="AB37" s="1"/>
  <c r="AG17"/>
  <c r="AH11"/>
  <c r="AG20"/>
  <c r="AG102"/>
  <c r="AG99"/>
  <c r="AH93"/>
  <c r="AB199"/>
  <c r="AB200" s="1"/>
  <c r="AC193"/>
  <c r="AC238"/>
  <c r="AC239" s="1"/>
  <c r="AD228"/>
  <c r="AC60"/>
  <c r="AC61" s="1"/>
  <c r="AC27"/>
  <c r="AC29" s="1"/>
  <c r="AC146"/>
  <c r="AC63"/>
  <c r="AC80" s="1"/>
  <c r="AE25"/>
  <c r="AE107"/>
  <c r="AF22"/>
  <c r="AF21"/>
  <c r="AF24" s="1"/>
  <c r="AF18"/>
  <c r="AF103"/>
  <c r="AF106" s="1"/>
  <c r="AF100"/>
  <c r="AF104"/>
  <c r="B33" i="10"/>
  <c r="D60" i="25"/>
  <c r="C133"/>
  <c r="F97"/>
  <c r="C97"/>
  <c r="F63" i="21"/>
  <c r="C63"/>
  <c r="G63"/>
  <c r="D63"/>
  <c r="F99"/>
  <c r="C99"/>
  <c r="C135"/>
  <c r="AC41" i="26" l="1"/>
  <c r="AC35"/>
  <c r="AC36" s="1"/>
  <c r="AC37" s="1"/>
  <c r="AD238"/>
  <c r="AD239" s="1"/>
  <c r="AE228"/>
  <c r="AC199"/>
  <c r="AC200" s="1"/>
  <c r="AD193"/>
  <c r="AH99"/>
  <c r="AI93"/>
  <c r="AH102"/>
  <c r="AD143"/>
  <c r="AD144" s="1"/>
  <c r="AD109"/>
  <c r="AD111" s="1"/>
  <c r="AE59"/>
  <c r="AE26"/>
  <c r="AG104"/>
  <c r="AG103"/>
  <c r="AG106" s="1"/>
  <c r="AG100"/>
  <c r="AG21"/>
  <c r="AG24" s="1"/>
  <c r="AG18"/>
  <c r="AG22"/>
  <c r="AC123"/>
  <c r="AC112"/>
  <c r="AC118" s="1"/>
  <c r="AC119" s="1"/>
  <c r="AC64"/>
  <c r="AB75"/>
  <c r="AB76" s="1"/>
  <c r="AD60"/>
  <c r="AD61" s="1"/>
  <c r="AD27"/>
  <c r="AD29" s="1"/>
  <c r="AF107"/>
  <c r="AF25"/>
  <c r="AD63"/>
  <c r="AD80" s="1"/>
  <c r="AE142"/>
  <c r="AE108"/>
  <c r="AC147"/>
  <c r="AC158" s="1"/>
  <c r="AC159" s="1"/>
  <c r="AC163"/>
  <c r="AH20"/>
  <c r="AH17"/>
  <c r="AI11"/>
  <c r="AD146"/>
  <c r="B34" i="10"/>
  <c r="D61" i="25"/>
  <c r="F98"/>
  <c r="C98"/>
  <c r="C134"/>
  <c r="C136" i="21"/>
  <c r="F100"/>
  <c r="C100"/>
  <c r="G64"/>
  <c r="D64"/>
  <c r="F64"/>
  <c r="C64"/>
  <c r="AD163" i="26" l="1"/>
  <c r="AD147"/>
  <c r="AD158" s="1"/>
  <c r="AD159" s="1"/>
  <c r="AI17"/>
  <c r="AJ11"/>
  <c r="AI20"/>
  <c r="AD41"/>
  <c r="AD35"/>
  <c r="AD36" s="1"/>
  <c r="AD37" s="1"/>
  <c r="AH22"/>
  <c r="AH21"/>
  <c r="AH18"/>
  <c r="AE143"/>
  <c r="AE144" s="1"/>
  <c r="AE109"/>
  <c r="AE111" s="1"/>
  <c r="AF142"/>
  <c r="AF108"/>
  <c r="AC75"/>
  <c r="AC76" s="1"/>
  <c r="AD64"/>
  <c r="AD112"/>
  <c r="AD118" s="1"/>
  <c r="AD119" s="1"/>
  <c r="AD123"/>
  <c r="AH103"/>
  <c r="AH106" s="1"/>
  <c r="AH100"/>
  <c r="AH104"/>
  <c r="AE146"/>
  <c r="AG25"/>
  <c r="AG107"/>
  <c r="AF59"/>
  <c r="AF26"/>
  <c r="AE60"/>
  <c r="AE61" s="1"/>
  <c r="AE63" s="1"/>
  <c r="AE80" s="1"/>
  <c r="AE27"/>
  <c r="AE29" s="1"/>
  <c r="AI102"/>
  <c r="AI99"/>
  <c r="AJ93"/>
  <c r="AD199"/>
  <c r="AD200" s="1"/>
  <c r="AE193"/>
  <c r="AE238"/>
  <c r="AE239" s="1"/>
  <c r="AH24"/>
  <c r="B35" i="10"/>
  <c r="D62" i="25"/>
  <c r="C135"/>
  <c r="F99"/>
  <c r="C99"/>
  <c r="F65" i="21"/>
  <c r="C65"/>
  <c r="G65"/>
  <c r="D65"/>
  <c r="F101"/>
  <c r="C101"/>
  <c r="C137"/>
  <c r="AI104" i="26" l="1"/>
  <c r="AI103"/>
  <c r="AI100"/>
  <c r="AG142"/>
  <c r="AG108"/>
  <c r="AE123"/>
  <c r="AE112"/>
  <c r="AE118" s="1"/>
  <c r="AE119" s="1"/>
  <c r="AF238"/>
  <c r="AF239" s="1"/>
  <c r="AE199"/>
  <c r="AE200" s="1"/>
  <c r="AJ99"/>
  <c r="AJ102"/>
  <c r="AG59"/>
  <c r="AG26"/>
  <c r="AE64"/>
  <c r="AD75"/>
  <c r="AD76" s="1"/>
  <c r="AF143"/>
  <c r="AF144" s="1"/>
  <c r="AF109"/>
  <c r="AF111" s="1"/>
  <c r="AI21"/>
  <c r="AI24" s="1"/>
  <c r="AI18"/>
  <c r="AI22"/>
  <c r="AI106"/>
  <c r="AH107"/>
  <c r="AF146"/>
  <c r="AE41"/>
  <c r="AE35"/>
  <c r="AE36" s="1"/>
  <c r="AE37" s="1"/>
  <c r="AF60"/>
  <c r="AF61" s="1"/>
  <c r="AF63" s="1"/>
  <c r="AF80" s="1"/>
  <c r="AF27"/>
  <c r="AF29" s="1"/>
  <c r="AE147"/>
  <c r="AE158" s="1"/>
  <c r="AE159" s="1"/>
  <c r="AE163"/>
  <c r="AJ20"/>
  <c r="AJ17"/>
  <c r="AH25"/>
  <c r="B36" i="10"/>
  <c r="D63" i="25"/>
  <c r="F100"/>
  <c r="C100"/>
  <c r="C136"/>
  <c r="C138" i="21"/>
  <c r="F102"/>
  <c r="C102"/>
  <c r="G66"/>
  <c r="D66"/>
  <c r="F66"/>
  <c r="C66"/>
  <c r="AH59" i="26" l="1"/>
  <c r="AH26"/>
  <c r="AE75"/>
  <c r="AE76" s="1"/>
  <c r="AF64"/>
  <c r="AF199"/>
  <c r="AF200" s="1"/>
  <c r="AG238"/>
  <c r="AG239" s="1"/>
  <c r="AJ22"/>
  <c r="AJ21"/>
  <c r="AJ18"/>
  <c r="AF41"/>
  <c r="AF35"/>
  <c r="AF36" s="1"/>
  <c r="AF37" s="1"/>
  <c r="AH142"/>
  <c r="AH108"/>
  <c r="AF112"/>
  <c r="AF118" s="1"/>
  <c r="AF119" s="1"/>
  <c r="AF123"/>
  <c r="AG60"/>
  <c r="AG61" s="1"/>
  <c r="AG27"/>
  <c r="AG29" s="1"/>
  <c r="AJ103"/>
  <c r="AJ106" s="1"/>
  <c r="AJ100"/>
  <c r="AJ104"/>
  <c r="AI25"/>
  <c r="AG63"/>
  <c r="AG80" s="1"/>
  <c r="AI107"/>
  <c r="AF163"/>
  <c r="AF147"/>
  <c r="AF158" s="1"/>
  <c r="AF159" s="1"/>
  <c r="AG143"/>
  <c r="AG144" s="1"/>
  <c r="AG109"/>
  <c r="AG111" s="1"/>
  <c r="AJ24"/>
  <c r="AG146"/>
  <c r="B37" i="10"/>
  <c r="D65" i="25" s="1"/>
  <c r="D64"/>
  <c r="C137"/>
  <c r="F101"/>
  <c r="C101"/>
  <c r="F67" i="21"/>
  <c r="C67"/>
  <c r="G67"/>
  <c r="D67"/>
  <c r="F103"/>
  <c r="C103"/>
  <c r="C139"/>
  <c r="AG147" i="26" l="1"/>
  <c r="AG158" s="1"/>
  <c r="AG159" s="1"/>
  <c r="AG163"/>
  <c r="AG123"/>
  <c r="AG112"/>
  <c r="AG118" s="1"/>
  <c r="AG119" s="1"/>
  <c r="AI142"/>
  <c r="AI108"/>
  <c r="AI59"/>
  <c r="AI26"/>
  <c r="AG41"/>
  <c r="AG35"/>
  <c r="AG36" s="1"/>
  <c r="AG37" s="1"/>
  <c r="AH143"/>
  <c r="AH144" s="1"/>
  <c r="AH109"/>
  <c r="AH111" s="1"/>
  <c r="AH238"/>
  <c r="AH239" s="1"/>
  <c r="AG199"/>
  <c r="AG200" s="1"/>
  <c r="AG64"/>
  <c r="AF75"/>
  <c r="AF76" s="1"/>
  <c r="AH60"/>
  <c r="AH61" s="1"/>
  <c r="AH27"/>
  <c r="AH29" s="1"/>
  <c r="AJ25"/>
  <c r="AJ107"/>
  <c r="AH146"/>
  <c r="AH63"/>
  <c r="AH80" s="1"/>
  <c r="Y35" i="14"/>
  <c r="Y41" s="1"/>
  <c r="F35"/>
  <c r="Q35"/>
  <c r="Q41" s="1"/>
  <c r="R35"/>
  <c r="R41" s="1"/>
  <c r="S35"/>
  <c r="S41" s="1"/>
  <c r="T35"/>
  <c r="T41" s="1"/>
  <c r="U35"/>
  <c r="U41" s="1"/>
  <c r="V35"/>
  <c r="V41" s="1"/>
  <c r="W35"/>
  <c r="X35"/>
  <c r="X41" s="1"/>
  <c r="E35"/>
  <c r="E41" s="1"/>
  <c r="F41"/>
  <c r="AJ142" i="26" l="1"/>
  <c r="AJ108"/>
  <c r="AH199"/>
  <c r="AH200" s="1"/>
  <c r="AI238"/>
  <c r="AI239" s="1"/>
  <c r="AJ238"/>
  <c r="AJ239" s="1"/>
  <c r="AI60"/>
  <c r="AI61" s="1"/>
  <c r="AI63" s="1"/>
  <c r="AI80" s="1"/>
  <c r="AI27"/>
  <c r="AI29" s="1"/>
  <c r="AH163"/>
  <c r="AH147"/>
  <c r="AH158" s="1"/>
  <c r="AH159" s="1"/>
  <c r="AJ59"/>
  <c r="AJ26"/>
  <c r="AG75"/>
  <c r="AG76" s="1"/>
  <c r="AH64"/>
  <c r="AI143"/>
  <c r="AI144" s="1"/>
  <c r="AI109"/>
  <c r="AI111" s="1"/>
  <c r="AI146"/>
  <c r="AH41"/>
  <c r="AH35"/>
  <c r="AH36" s="1"/>
  <c r="AH37" s="1"/>
  <c r="AH112"/>
  <c r="AH118" s="1"/>
  <c r="AH119" s="1"/>
  <c r="AH123"/>
  <c r="F28" i="14"/>
  <c r="W41"/>
  <c r="W28" s="1"/>
  <c r="X28"/>
  <c r="V28"/>
  <c r="T28"/>
  <c r="R28"/>
  <c r="E28"/>
  <c r="U28"/>
  <c r="S28"/>
  <c r="Q28"/>
  <c r="Y28"/>
  <c r="E25" i="17"/>
  <c r="D23"/>
  <c r="E22"/>
  <c r="E21"/>
  <c r="E19"/>
  <c r="E16"/>
  <c r="E13"/>
  <c r="E12"/>
  <c r="E9"/>
  <c r="E7"/>
  <c r="E5"/>
  <c r="E8" i="16"/>
  <c r="E7"/>
  <c r="E6"/>
  <c r="E5"/>
  <c r="G33" i="15"/>
  <c r="G32"/>
  <c r="G31"/>
  <c r="G30"/>
  <c r="G29"/>
  <c r="G28"/>
  <c r="G27"/>
  <c r="G26"/>
  <c r="G25"/>
  <c r="G24"/>
  <c r="H24" s="1"/>
  <c r="G23"/>
  <c r="G22"/>
  <c r="G21"/>
  <c r="G20"/>
  <c r="G19"/>
  <c r="H19" s="1"/>
  <c r="G18"/>
  <c r="G17"/>
  <c r="G16"/>
  <c r="G15"/>
  <c r="G14"/>
  <c r="G13"/>
  <c r="G12"/>
  <c r="G11"/>
  <c r="G10"/>
  <c r="H10" s="1"/>
  <c r="G9"/>
  <c r="G8"/>
  <c r="G7"/>
  <c r="G6"/>
  <c r="AI147" i="26" l="1"/>
  <c r="AI158" s="1"/>
  <c r="AI159" s="1"/>
  <c r="AI163"/>
  <c r="AI64"/>
  <c r="AH75"/>
  <c r="AH76" s="1"/>
  <c r="AJ60"/>
  <c r="AJ61" s="1"/>
  <c r="AJ27"/>
  <c r="AJ29" s="1"/>
  <c r="AI41"/>
  <c r="AI35"/>
  <c r="AI36" s="1"/>
  <c r="AI37" s="1"/>
  <c r="AI199"/>
  <c r="AI200" s="1"/>
  <c r="AJ199"/>
  <c r="AJ200" s="1"/>
  <c r="G196" s="1"/>
  <c r="AJ143"/>
  <c r="AJ144" s="1"/>
  <c r="AJ109"/>
  <c r="AJ111" s="1"/>
  <c r="AJ63"/>
  <c r="AJ146"/>
  <c r="AI123"/>
  <c r="AI112"/>
  <c r="AI118" s="1"/>
  <c r="AI119" s="1"/>
  <c r="H32" i="15"/>
  <c r="E10" i="16"/>
  <c r="H27" i="15"/>
  <c r="H6"/>
  <c r="H8"/>
  <c r="H20"/>
  <c r="H22"/>
  <c r="H30"/>
  <c r="H11"/>
  <c r="H13"/>
  <c r="H15"/>
  <c r="H17"/>
  <c r="AJ80" i="26" l="1"/>
  <c r="G70"/>
  <c r="G69"/>
  <c r="AI75"/>
  <c r="AI76" s="1"/>
  <c r="AJ64"/>
  <c r="AJ75" s="1"/>
  <c r="AJ163"/>
  <c r="AJ147"/>
  <c r="AJ158" s="1"/>
  <c r="AJ159" s="1"/>
  <c r="G152"/>
  <c r="G153"/>
  <c r="AJ112"/>
  <c r="AJ118" s="1"/>
  <c r="AJ119" s="1"/>
  <c r="AJ123"/>
  <c r="G114"/>
  <c r="G113"/>
  <c r="AJ41"/>
  <c r="AJ35"/>
  <c r="AJ36" s="1"/>
  <c r="AJ37" s="1"/>
  <c r="G31"/>
  <c r="G32"/>
  <c r="E13" i="16"/>
  <c r="E11"/>
  <c r="E14"/>
  <c r="E12"/>
  <c r="AJ76" i="26" l="1"/>
  <c r="G71" s="1"/>
  <c r="E20" i="16"/>
  <c r="E23" s="1"/>
  <c r="K61" i="9"/>
  <c r="L61"/>
  <c r="J61"/>
  <c r="M59" l="1"/>
  <c r="M58"/>
  <c r="M57"/>
  <c r="M56"/>
  <c r="M55"/>
  <c r="M54"/>
  <c r="M53"/>
  <c r="M52"/>
  <c r="M51"/>
  <c r="M50"/>
  <c r="M49"/>
  <c r="M48"/>
  <c r="M47"/>
  <c r="M45"/>
  <c r="D5" i="11" l="1"/>
  <c r="H35" i="25" l="1"/>
  <c r="H37" i="21"/>
  <c r="D6" i="11"/>
  <c r="E5" i="9"/>
  <c r="D7" i="11" l="1"/>
  <c r="H36" i="25"/>
  <c r="H38" i="21"/>
  <c r="J5" i="11"/>
  <c r="H5"/>
  <c r="C7" i="10"/>
  <c r="C57" i="9"/>
  <c r="FW29"/>
  <c r="FV29"/>
  <c r="FK29"/>
  <c r="FJ29"/>
  <c r="EO29"/>
  <c r="EN29"/>
  <c r="EC29"/>
  <c r="EB29"/>
  <c r="DQ29"/>
  <c r="DP29"/>
  <c r="DE29"/>
  <c r="DD29"/>
  <c r="CS29"/>
  <c r="CR29"/>
  <c r="CG29"/>
  <c r="CF29"/>
  <c r="BU29"/>
  <c r="BT29"/>
  <c r="BI29"/>
  <c r="BH29"/>
  <c r="AW29"/>
  <c r="AV29"/>
  <c r="AK29"/>
  <c r="AJ29"/>
  <c r="Y29"/>
  <c r="X29"/>
  <c r="FW28"/>
  <c r="FV28"/>
  <c r="FK28"/>
  <c r="FJ28"/>
  <c r="EO28"/>
  <c r="EN28"/>
  <c r="EC28"/>
  <c r="EB28"/>
  <c r="DQ28"/>
  <c r="DP28"/>
  <c r="DE28"/>
  <c r="DD28"/>
  <c r="CS28"/>
  <c r="CR28"/>
  <c r="CG28"/>
  <c r="CF28"/>
  <c r="BU28"/>
  <c r="BT28"/>
  <c r="BI28"/>
  <c r="BH28"/>
  <c r="AW28"/>
  <c r="AV28"/>
  <c r="AK28"/>
  <c r="AJ28"/>
  <c r="Y28"/>
  <c r="X28"/>
  <c r="FW27"/>
  <c r="FV27"/>
  <c r="FK27"/>
  <c r="FJ27"/>
  <c r="EO27"/>
  <c r="EN27"/>
  <c r="EC27"/>
  <c r="EB27"/>
  <c r="DQ27"/>
  <c r="DP27"/>
  <c r="DE27"/>
  <c r="DD27"/>
  <c r="CS27"/>
  <c r="CR27"/>
  <c r="CG27"/>
  <c r="CF27"/>
  <c r="BU27"/>
  <c r="BT27"/>
  <c r="BI27"/>
  <c r="BH27"/>
  <c r="AW27"/>
  <c r="AV27"/>
  <c r="AK27"/>
  <c r="AJ27"/>
  <c r="Y27"/>
  <c r="X27"/>
  <c r="FW26"/>
  <c r="FV26"/>
  <c r="FK26"/>
  <c r="FJ26"/>
  <c r="EO26"/>
  <c r="EN26"/>
  <c r="EC26"/>
  <c r="EB26"/>
  <c r="DQ26"/>
  <c r="DP26"/>
  <c r="DE26"/>
  <c r="DD26"/>
  <c r="CS26"/>
  <c r="CR26"/>
  <c r="CG26"/>
  <c r="CF26"/>
  <c r="BU26"/>
  <c r="BT26"/>
  <c r="BI26"/>
  <c r="BH26"/>
  <c r="AW26"/>
  <c r="AV26"/>
  <c r="AK26"/>
  <c r="AJ26"/>
  <c r="Y26"/>
  <c r="X26"/>
  <c r="FW25"/>
  <c r="FV25"/>
  <c r="FK25"/>
  <c r="FJ25"/>
  <c r="EO25"/>
  <c r="EN25"/>
  <c r="EC25"/>
  <c r="EB25"/>
  <c r="DQ25"/>
  <c r="DP25"/>
  <c r="DE25"/>
  <c r="DD25"/>
  <c r="CS25"/>
  <c r="CR25"/>
  <c r="CG25"/>
  <c r="CF25"/>
  <c r="BU25"/>
  <c r="BT25"/>
  <c r="BI25"/>
  <c r="BH25"/>
  <c r="AW25"/>
  <c r="AV25"/>
  <c r="AK25"/>
  <c r="AJ25"/>
  <c r="Y25"/>
  <c r="X25"/>
  <c r="FW24"/>
  <c r="FV24"/>
  <c r="FK24"/>
  <c r="FJ24"/>
  <c r="EO24"/>
  <c r="EN24"/>
  <c r="EC24"/>
  <c r="EB24"/>
  <c r="DQ24"/>
  <c r="DP24"/>
  <c r="DE24"/>
  <c r="DD24"/>
  <c r="CS24"/>
  <c r="CR24"/>
  <c r="CG24"/>
  <c r="CF24"/>
  <c r="BU24"/>
  <c r="BT24"/>
  <c r="BI24"/>
  <c r="BH24"/>
  <c r="AW24"/>
  <c r="AV24"/>
  <c r="AK24"/>
  <c r="AJ24"/>
  <c r="Y24"/>
  <c r="X24"/>
  <c r="FW23"/>
  <c r="FV23"/>
  <c r="FY23" s="1"/>
  <c r="FK23"/>
  <c r="FJ23"/>
  <c r="FM23" s="1"/>
  <c r="FC23"/>
  <c r="FA23"/>
  <c r="EO23"/>
  <c r="EN23"/>
  <c r="EC23"/>
  <c r="EB23"/>
  <c r="EE23" s="1"/>
  <c r="DQ23"/>
  <c r="DP23"/>
  <c r="DS23" s="1"/>
  <c r="DE23"/>
  <c r="DD23"/>
  <c r="DG23" s="1"/>
  <c r="CS23"/>
  <c r="CR23"/>
  <c r="CU23" s="1"/>
  <c r="CG23"/>
  <c r="CF23"/>
  <c r="CI23" s="1"/>
  <c r="BU23"/>
  <c r="BT23"/>
  <c r="BW23" s="1"/>
  <c r="BI23"/>
  <c r="BH23"/>
  <c r="BK23" s="1"/>
  <c r="AW23"/>
  <c r="AV23"/>
  <c r="AY23" s="1"/>
  <c r="AK23"/>
  <c r="AJ23"/>
  <c r="AM23" s="1"/>
  <c r="Y23"/>
  <c r="X23"/>
  <c r="AA23" s="1"/>
  <c r="Q23"/>
  <c r="O23"/>
  <c r="G23"/>
  <c r="F47" s="1"/>
  <c r="E23"/>
  <c r="FW22"/>
  <c r="FV22"/>
  <c r="FK22"/>
  <c r="FJ22"/>
  <c r="EO22"/>
  <c r="EN22"/>
  <c r="EC22"/>
  <c r="EB22"/>
  <c r="DQ22"/>
  <c r="DP22"/>
  <c r="DE22"/>
  <c r="DD22"/>
  <c r="CS22"/>
  <c r="CR22"/>
  <c r="CG22"/>
  <c r="CF22"/>
  <c r="BU22"/>
  <c r="BT22"/>
  <c r="BI22"/>
  <c r="BH22"/>
  <c r="AW22"/>
  <c r="AV22"/>
  <c r="AK22"/>
  <c r="AJ22"/>
  <c r="Y22"/>
  <c r="X22"/>
  <c r="FW21"/>
  <c r="FV21"/>
  <c r="FK21"/>
  <c r="FJ21"/>
  <c r="EO21"/>
  <c r="EN21"/>
  <c r="EQ23" s="1"/>
  <c r="EC21"/>
  <c r="EB21"/>
  <c r="DQ21"/>
  <c r="DP21"/>
  <c r="DE21"/>
  <c r="DD21"/>
  <c r="CS21"/>
  <c r="CR21"/>
  <c r="CG21"/>
  <c r="CF21"/>
  <c r="BU21"/>
  <c r="BT21"/>
  <c r="BI21"/>
  <c r="BH21"/>
  <c r="AW21"/>
  <c r="AV21"/>
  <c r="AK21"/>
  <c r="AJ21"/>
  <c r="Y21"/>
  <c r="X21"/>
  <c r="FW20"/>
  <c r="FV20"/>
  <c r="FK20"/>
  <c r="FJ20"/>
  <c r="EO20"/>
  <c r="EN20"/>
  <c r="EC20"/>
  <c r="EB20"/>
  <c r="DQ20"/>
  <c r="DP20"/>
  <c r="DE20"/>
  <c r="DD20"/>
  <c r="CS20"/>
  <c r="CR20"/>
  <c r="CG20"/>
  <c r="CF20"/>
  <c r="BU20"/>
  <c r="BT20"/>
  <c r="BI20"/>
  <c r="BH20"/>
  <c r="AW20"/>
  <c r="AV20"/>
  <c r="AK20"/>
  <c r="AJ20"/>
  <c r="Y20"/>
  <c r="X20"/>
  <c r="FW19"/>
  <c r="FV19"/>
  <c r="FK19"/>
  <c r="FJ19"/>
  <c r="EO19"/>
  <c r="EN19"/>
  <c r="EC19"/>
  <c r="EB19"/>
  <c r="DQ19"/>
  <c r="DP19"/>
  <c r="DE19"/>
  <c r="DD19"/>
  <c r="CS19"/>
  <c r="CR19"/>
  <c r="CG19"/>
  <c r="CF19"/>
  <c r="BU19"/>
  <c r="BT19"/>
  <c r="BI19"/>
  <c r="BH19"/>
  <c r="AW19"/>
  <c r="AV19"/>
  <c r="AK19"/>
  <c r="AJ19"/>
  <c r="Y19"/>
  <c r="X19"/>
  <c r="FW18"/>
  <c r="FV18"/>
  <c r="FK18"/>
  <c r="FJ18"/>
  <c r="EO18"/>
  <c r="EN18"/>
  <c r="EC18"/>
  <c r="EB18"/>
  <c r="DQ18"/>
  <c r="DP18"/>
  <c r="DE18"/>
  <c r="DD18"/>
  <c r="CS18"/>
  <c r="CR18"/>
  <c r="CG18"/>
  <c r="CF18"/>
  <c r="BU18"/>
  <c r="BT18"/>
  <c r="BI18"/>
  <c r="BH18"/>
  <c r="AW18"/>
  <c r="AV18"/>
  <c r="AK18"/>
  <c r="AJ18"/>
  <c r="Y18"/>
  <c r="X18"/>
  <c r="FW17"/>
  <c r="FV17"/>
  <c r="FK17"/>
  <c r="FJ17"/>
  <c r="EO17"/>
  <c r="EN17"/>
  <c r="EC17"/>
  <c r="EB17"/>
  <c r="DQ17"/>
  <c r="DP17"/>
  <c r="DE17"/>
  <c r="DD17"/>
  <c r="CS17"/>
  <c r="CR17"/>
  <c r="CG17"/>
  <c r="CF17"/>
  <c r="BU17"/>
  <c r="BT17"/>
  <c r="BI17"/>
  <c r="BH17"/>
  <c r="AW17"/>
  <c r="AV17"/>
  <c r="AK17"/>
  <c r="AJ17"/>
  <c r="Y17"/>
  <c r="X17"/>
  <c r="FW16"/>
  <c r="FV16"/>
  <c r="FK16"/>
  <c r="FJ16"/>
  <c r="EO16"/>
  <c r="EN16"/>
  <c r="EC16"/>
  <c r="EB16"/>
  <c r="DQ16"/>
  <c r="DP16"/>
  <c r="DE16"/>
  <c r="DD16"/>
  <c r="CS16"/>
  <c r="CR16"/>
  <c r="CG16"/>
  <c r="CF16"/>
  <c r="BU16"/>
  <c r="BT16"/>
  <c r="BI16"/>
  <c r="BH16"/>
  <c r="AW16"/>
  <c r="AV16"/>
  <c r="AK16"/>
  <c r="AJ16"/>
  <c r="Y16"/>
  <c r="X16"/>
  <c r="FW15"/>
  <c r="FV15"/>
  <c r="FK15"/>
  <c r="FJ15"/>
  <c r="EO15"/>
  <c r="EN15"/>
  <c r="EC15"/>
  <c r="EB15"/>
  <c r="DQ15"/>
  <c r="DP15"/>
  <c r="DE15"/>
  <c r="DD15"/>
  <c r="CS15"/>
  <c r="CR15"/>
  <c r="CG15"/>
  <c r="CF15"/>
  <c r="BU15"/>
  <c r="BT15"/>
  <c r="BI15"/>
  <c r="BH15"/>
  <c r="AW15"/>
  <c r="AV15"/>
  <c r="AK15"/>
  <c r="AJ15"/>
  <c r="Y15"/>
  <c r="X15"/>
  <c r="FW14"/>
  <c r="FV14"/>
  <c r="FK14"/>
  <c r="FJ14"/>
  <c r="EO14"/>
  <c r="EN14"/>
  <c r="EC14"/>
  <c r="EB14"/>
  <c r="DQ14"/>
  <c r="DP14"/>
  <c r="DE14"/>
  <c r="DD14"/>
  <c r="CS14"/>
  <c r="CR14"/>
  <c r="CG14"/>
  <c r="CF14"/>
  <c r="BU14"/>
  <c r="BT14"/>
  <c r="BI14"/>
  <c r="BH14"/>
  <c r="AW14"/>
  <c r="AV14"/>
  <c r="AK14"/>
  <c r="AJ14"/>
  <c r="Y14"/>
  <c r="X14"/>
  <c r="FW13"/>
  <c r="FV13"/>
  <c r="FK13"/>
  <c r="FJ13"/>
  <c r="EO13"/>
  <c r="EN13"/>
  <c r="EC13"/>
  <c r="EB13"/>
  <c r="DQ13"/>
  <c r="DP13"/>
  <c r="DE13"/>
  <c r="DD13"/>
  <c r="CS13"/>
  <c r="CR13"/>
  <c r="CG13"/>
  <c r="CF13"/>
  <c r="BU13"/>
  <c r="BT13"/>
  <c r="BI13"/>
  <c r="BH13"/>
  <c r="AW13"/>
  <c r="AV13"/>
  <c r="AK13"/>
  <c r="AJ13"/>
  <c r="Y13"/>
  <c r="X13"/>
  <c r="FW12"/>
  <c r="FV12"/>
  <c r="FK12"/>
  <c r="FJ12"/>
  <c r="EO12"/>
  <c r="EN12"/>
  <c r="EC12"/>
  <c r="EB12"/>
  <c r="DQ12"/>
  <c r="DP12"/>
  <c r="DE12"/>
  <c r="DD12"/>
  <c r="CS12"/>
  <c r="CR12"/>
  <c r="CG12"/>
  <c r="CF12"/>
  <c r="BU12"/>
  <c r="BT12"/>
  <c r="BI12"/>
  <c r="BH12"/>
  <c r="AW12"/>
  <c r="AV12"/>
  <c r="AK12"/>
  <c r="AJ12"/>
  <c r="Y12"/>
  <c r="X12"/>
  <c r="FW11"/>
  <c r="FV11"/>
  <c r="FK11"/>
  <c r="FJ11"/>
  <c r="EO11"/>
  <c r="EN11"/>
  <c r="EC11"/>
  <c r="EB11"/>
  <c r="DQ11"/>
  <c r="DP11"/>
  <c r="DE11"/>
  <c r="DD11"/>
  <c r="CS11"/>
  <c r="CR11"/>
  <c r="CG11"/>
  <c r="CF11"/>
  <c r="BU11"/>
  <c r="BT11"/>
  <c r="BI11"/>
  <c r="BH11"/>
  <c r="AW11"/>
  <c r="AV11"/>
  <c r="AK11"/>
  <c r="AJ11"/>
  <c r="Y11"/>
  <c r="X11"/>
  <c r="FW10"/>
  <c r="FV10"/>
  <c r="GA10" s="1"/>
  <c r="FK10"/>
  <c r="FJ10"/>
  <c r="FO10" s="1"/>
  <c r="D50" s="1"/>
  <c r="FC10"/>
  <c r="EO10"/>
  <c r="EN10"/>
  <c r="EC10"/>
  <c r="EB10"/>
  <c r="DQ10"/>
  <c r="DP10"/>
  <c r="DE10"/>
  <c r="DD10"/>
  <c r="CS10"/>
  <c r="CR10"/>
  <c r="CG10"/>
  <c r="CF10"/>
  <c r="BU10"/>
  <c r="BT10"/>
  <c r="BI10"/>
  <c r="BH10"/>
  <c r="AW10"/>
  <c r="AV10"/>
  <c r="AK10"/>
  <c r="AJ10"/>
  <c r="Y10"/>
  <c r="X10"/>
  <c r="Q10"/>
  <c r="G10"/>
  <c r="D47" s="1"/>
  <c r="FW9"/>
  <c r="FV9"/>
  <c r="FK9"/>
  <c r="FJ9"/>
  <c r="EO9"/>
  <c r="EN9"/>
  <c r="EC9"/>
  <c r="EB9"/>
  <c r="DQ9"/>
  <c r="DP9"/>
  <c r="DE9"/>
  <c r="DD9"/>
  <c r="CS9"/>
  <c r="CR9"/>
  <c r="CG9"/>
  <c r="CF9"/>
  <c r="BU9"/>
  <c r="BT9"/>
  <c r="BI9"/>
  <c r="BH9"/>
  <c r="AW9"/>
  <c r="AV9"/>
  <c r="AK9"/>
  <c r="AJ9"/>
  <c r="Y9"/>
  <c r="X9"/>
  <c r="FW8"/>
  <c r="FV8"/>
  <c r="FK8"/>
  <c r="FJ8"/>
  <c r="EO8"/>
  <c r="EN8"/>
  <c r="EC8"/>
  <c r="EB8"/>
  <c r="DQ8"/>
  <c r="DP8"/>
  <c r="DE8"/>
  <c r="DD8"/>
  <c r="CS8"/>
  <c r="CR8"/>
  <c r="CG8"/>
  <c r="CF8"/>
  <c r="BU8"/>
  <c r="BT8"/>
  <c r="BI8"/>
  <c r="BH8"/>
  <c r="AW8"/>
  <c r="AV8"/>
  <c r="AK8"/>
  <c r="AJ8"/>
  <c r="Y8"/>
  <c r="X8"/>
  <c r="FW7"/>
  <c r="FV7"/>
  <c r="FK7"/>
  <c r="FJ7"/>
  <c r="EO7"/>
  <c r="EN7"/>
  <c r="EC7"/>
  <c r="EB7"/>
  <c r="DQ7"/>
  <c r="DP7"/>
  <c r="DE7"/>
  <c r="DD7"/>
  <c r="CS7"/>
  <c r="CR7"/>
  <c r="CG7"/>
  <c r="CF7"/>
  <c r="BU7"/>
  <c r="BT7"/>
  <c r="BI7"/>
  <c r="BH7"/>
  <c r="AW7"/>
  <c r="AV7"/>
  <c r="AK7"/>
  <c r="AJ7"/>
  <c r="Y7"/>
  <c r="X7"/>
  <c r="FW6"/>
  <c r="FV6"/>
  <c r="FK6"/>
  <c r="FJ6"/>
  <c r="EO6"/>
  <c r="EN6"/>
  <c r="EC6"/>
  <c r="EB6"/>
  <c r="DQ6"/>
  <c r="DP6"/>
  <c r="DE6"/>
  <c r="DD6"/>
  <c r="CS6"/>
  <c r="CR6"/>
  <c r="CG6"/>
  <c r="CF6"/>
  <c r="BU6"/>
  <c r="BT6"/>
  <c r="BI6"/>
  <c r="BH6"/>
  <c r="AW6"/>
  <c r="AV6"/>
  <c r="AK6"/>
  <c r="AJ6"/>
  <c r="Y6"/>
  <c r="X6"/>
  <c r="FW5"/>
  <c r="FT5"/>
  <c r="FV5" s="1"/>
  <c r="FK5"/>
  <c r="FJ5"/>
  <c r="FO5" s="1"/>
  <c r="E50" s="1"/>
  <c r="FC5"/>
  <c r="FA5"/>
  <c r="EO5"/>
  <c r="EN5"/>
  <c r="ES5" s="1"/>
  <c r="EC5"/>
  <c r="EB5"/>
  <c r="EG5" s="1"/>
  <c r="E55" s="1"/>
  <c r="DQ5"/>
  <c r="DP5"/>
  <c r="DU5" s="1"/>
  <c r="E54" s="1"/>
  <c r="DE5"/>
  <c r="DD5"/>
  <c r="DI5" s="1"/>
  <c r="E53" s="1"/>
  <c r="CS5"/>
  <c r="CR5"/>
  <c r="CW5" s="1"/>
  <c r="E52" s="1"/>
  <c r="CG5"/>
  <c r="CF5"/>
  <c r="CK5" s="1"/>
  <c r="E51" s="1"/>
  <c r="BU5"/>
  <c r="BT5"/>
  <c r="BY5" s="1"/>
  <c r="BI5"/>
  <c r="BH5"/>
  <c r="BM5" s="1"/>
  <c r="E46" s="1"/>
  <c r="AW5"/>
  <c r="AV5"/>
  <c r="BA5" s="1"/>
  <c r="E45" s="1"/>
  <c r="AK5"/>
  <c r="AJ5"/>
  <c r="Y5"/>
  <c r="X5"/>
  <c r="Q5"/>
  <c r="O5"/>
  <c r="E47"/>
  <c r="C59" l="1"/>
  <c r="BA10"/>
  <c r="D45" s="1"/>
  <c r="BM10"/>
  <c r="D46" s="1"/>
  <c r="BY10"/>
  <c r="CK10"/>
  <c r="D51" s="1"/>
  <c r="CW10"/>
  <c r="D52" s="1"/>
  <c r="DI10"/>
  <c r="D53" s="1"/>
  <c r="DU10"/>
  <c r="D54" s="1"/>
  <c r="EG10"/>
  <c r="D55" s="1"/>
  <c r="ES10"/>
  <c r="E37" i="21"/>
  <c r="I37" s="1"/>
  <c r="C8" i="10"/>
  <c r="E35" i="25"/>
  <c r="I35" s="1"/>
  <c r="H107"/>
  <c r="H109" i="21"/>
  <c r="J6" i="11"/>
  <c r="H37" i="25"/>
  <c r="D8" i="11"/>
  <c r="H39" i="21"/>
  <c r="H6" i="11"/>
  <c r="G107" i="25"/>
  <c r="G109" i="21"/>
  <c r="AO5" i="9"/>
  <c r="E49" s="1"/>
  <c r="AO10"/>
  <c r="D49" s="1"/>
  <c r="C58"/>
  <c r="C61" s="1"/>
  <c r="AC10"/>
  <c r="D48" s="1"/>
  <c r="AO23"/>
  <c r="F49" s="1"/>
  <c r="BM23"/>
  <c r="F46" s="1"/>
  <c r="CK23"/>
  <c r="F51" s="1"/>
  <c r="DI23"/>
  <c r="F53" s="1"/>
  <c r="EG23"/>
  <c r="F55" s="1"/>
  <c r="GA23"/>
  <c r="AC5"/>
  <c r="E48" s="1"/>
  <c r="E57" s="1"/>
  <c r="E58" s="1"/>
  <c r="AC23"/>
  <c r="F48" s="1"/>
  <c r="BA23"/>
  <c r="F45" s="1"/>
  <c r="BY23"/>
  <c r="CW23"/>
  <c r="F52" s="1"/>
  <c r="DU23"/>
  <c r="F54" s="1"/>
  <c r="FO23"/>
  <c r="F50" s="1"/>
  <c r="E5" i="11"/>
  <c r="G71" i="25" s="1"/>
  <c r="G5" i="11"/>
  <c r="I5"/>
  <c r="F7" i="10"/>
  <c r="E7"/>
  <c r="G7"/>
  <c r="FY5" i="9"/>
  <c r="GA5"/>
  <c r="AA5"/>
  <c r="AM5"/>
  <c r="AY5"/>
  <c r="BK5"/>
  <c r="BW5"/>
  <c r="CI5"/>
  <c r="CU5"/>
  <c r="DG5"/>
  <c r="DS5"/>
  <c r="EE5"/>
  <c r="EQ5"/>
  <c r="FM5"/>
  <c r="ES23"/>
  <c r="B59"/>
  <c r="B58"/>
  <c r="B61" s="1"/>
  <c r="F57" l="1"/>
  <c r="D57"/>
  <c r="G8" i="10"/>
  <c r="E109" i="21"/>
  <c r="E107" i="25"/>
  <c r="F8" i="10"/>
  <c r="D107" i="25"/>
  <c r="H73" i="21"/>
  <c r="H71" i="25"/>
  <c r="G6" i="11"/>
  <c r="H7"/>
  <c r="H8" s="1"/>
  <c r="H9" s="1"/>
  <c r="H10" s="1"/>
  <c r="H11" s="1"/>
  <c r="H12" s="1"/>
  <c r="H13" s="1"/>
  <c r="H14" s="1"/>
  <c r="H15" s="1"/>
  <c r="H16" s="1"/>
  <c r="H17" s="1"/>
  <c r="H18" s="1"/>
  <c r="H19" s="1"/>
  <c r="H20" s="1"/>
  <c r="H21" s="1"/>
  <c r="H22" s="1"/>
  <c r="H23" s="1"/>
  <c r="H24" s="1"/>
  <c r="H25" s="1"/>
  <c r="H26" s="1"/>
  <c r="H27" s="1"/>
  <c r="H28" s="1"/>
  <c r="H29" s="1"/>
  <c r="H30" s="1"/>
  <c r="H31" s="1"/>
  <c r="H32" s="1"/>
  <c r="H33" s="1"/>
  <c r="H34" s="1"/>
  <c r="H35" s="1"/>
  <c r="G108" i="25"/>
  <c r="D9" i="11"/>
  <c r="H38" i="25"/>
  <c r="H40" i="21"/>
  <c r="J7" i="11"/>
  <c r="H108" i="25"/>
  <c r="H110" i="21"/>
  <c r="E8" i="10"/>
  <c r="E71" i="25"/>
  <c r="I71" s="1"/>
  <c r="E73" i="21"/>
  <c r="F107" i="25"/>
  <c r="I6" i="11"/>
  <c r="F109" i="21"/>
  <c r="C9" i="10"/>
  <c r="E36" i="25"/>
  <c r="I36" s="1"/>
  <c r="E38" i="21"/>
  <c r="I38" s="1"/>
  <c r="D109"/>
  <c r="D73"/>
  <c r="G73"/>
  <c r="E6" i="11"/>
  <c r="G72" i="25" s="1"/>
  <c r="G109"/>
  <c r="G110" i="21"/>
  <c r="D58" i="9"/>
  <c r="D59"/>
  <c r="F58"/>
  <c r="F59"/>
  <c r="E59"/>
  <c r="E61" s="1"/>
  <c r="I109" i="21" l="1"/>
  <c r="C10" i="10"/>
  <c r="E37" i="25"/>
  <c r="I37" s="1"/>
  <c r="E39" i="21"/>
  <c r="I39" s="1"/>
  <c r="I7" i="11"/>
  <c r="I8" s="1"/>
  <c r="I9" s="1"/>
  <c r="I10" s="1"/>
  <c r="I11" s="1"/>
  <c r="I12" s="1"/>
  <c r="I13" s="1"/>
  <c r="I14" s="1"/>
  <c r="I15" s="1"/>
  <c r="I16" s="1"/>
  <c r="I17" s="1"/>
  <c r="I18" s="1"/>
  <c r="I19" s="1"/>
  <c r="I20" s="1"/>
  <c r="I21" s="1"/>
  <c r="I22" s="1"/>
  <c r="I23" s="1"/>
  <c r="I24" s="1"/>
  <c r="I25" s="1"/>
  <c r="I26" s="1"/>
  <c r="I27" s="1"/>
  <c r="I28" s="1"/>
  <c r="I29" s="1"/>
  <c r="I30" s="1"/>
  <c r="I31" s="1"/>
  <c r="I32" s="1"/>
  <c r="I33" s="1"/>
  <c r="I34" s="1"/>
  <c r="I35" s="1"/>
  <c r="F108" i="25"/>
  <c r="F110" i="21"/>
  <c r="E9" i="10"/>
  <c r="E72" i="25"/>
  <c r="I72" s="1"/>
  <c r="E74" i="21"/>
  <c r="D10" i="11"/>
  <c r="H39" i="25"/>
  <c r="H41" i="21"/>
  <c r="G9" i="10"/>
  <c r="E108" i="25"/>
  <c r="E110" i="21"/>
  <c r="I107" i="25"/>
  <c r="J8" i="11"/>
  <c r="H111" i="21"/>
  <c r="H109" i="25"/>
  <c r="G7" i="11"/>
  <c r="H72" i="25"/>
  <c r="H74" i="21"/>
  <c r="F9" i="10"/>
  <c r="F10" s="1"/>
  <c r="F11" s="1"/>
  <c r="F12" s="1"/>
  <c r="F13" s="1"/>
  <c r="F14" s="1"/>
  <c r="F15" s="1"/>
  <c r="F16" s="1"/>
  <c r="F17" s="1"/>
  <c r="F18" s="1"/>
  <c r="F19" s="1"/>
  <c r="F20" s="1"/>
  <c r="F21" s="1"/>
  <c r="F22" s="1"/>
  <c r="F23" s="1"/>
  <c r="F24" s="1"/>
  <c r="F25" s="1"/>
  <c r="F26" s="1"/>
  <c r="F27" s="1"/>
  <c r="F28" s="1"/>
  <c r="F29" s="1"/>
  <c r="F30" s="1"/>
  <c r="F31" s="1"/>
  <c r="F32" s="1"/>
  <c r="F33" s="1"/>
  <c r="F34" s="1"/>
  <c r="F35" s="1"/>
  <c r="F36" s="1"/>
  <c r="F37" s="1"/>
  <c r="D108" i="25"/>
  <c r="I108" s="1"/>
  <c r="F111" i="21"/>
  <c r="F109" i="25"/>
  <c r="I73" i="21"/>
  <c r="D74"/>
  <c r="D109" i="25"/>
  <c r="D110" i="21"/>
  <c r="I110" s="1"/>
  <c r="G110" i="25"/>
  <c r="G111" i="21"/>
  <c r="E7" i="11"/>
  <c r="G73" i="25" s="1"/>
  <c r="G74" i="21"/>
  <c r="I74" s="1"/>
  <c r="D61" i="9"/>
  <c r="F61"/>
  <c r="E65" i="1"/>
  <c r="E66"/>
  <c r="E67"/>
  <c r="E68"/>
  <c r="E54"/>
  <c r="E55"/>
  <c r="E56"/>
  <c r="E57"/>
  <c r="E58"/>
  <c r="E59"/>
  <c r="E60"/>
  <c r="E61"/>
  <c r="E62"/>
  <c r="E63"/>
  <c r="E64"/>
  <c r="E49"/>
  <c r="E50"/>
  <c r="E51"/>
  <c r="E52"/>
  <c r="E53"/>
  <c r="E48"/>
  <c r="E47"/>
  <c r="E26"/>
  <c r="E2"/>
  <c r="D29"/>
  <c r="E29" s="1"/>
  <c r="D34"/>
  <c r="E34" s="1"/>
  <c r="D33"/>
  <c r="E33" s="1"/>
  <c r="D32"/>
  <c r="E32" s="1"/>
  <c r="D46"/>
  <c r="E46" s="1"/>
  <c r="D37"/>
  <c r="D43"/>
  <c r="E43" s="1"/>
  <c r="E44"/>
  <c r="D45"/>
  <c r="E45" s="1"/>
  <c r="D39"/>
  <c r="D35"/>
  <c r="E35" s="1"/>
  <c r="D38"/>
  <c r="D42"/>
  <c r="E42" s="1"/>
  <c r="D41"/>
  <c r="E41" s="1"/>
  <c r="D3"/>
  <c r="E3" s="1"/>
  <c r="E36"/>
  <c r="D40"/>
  <c r="E40" s="1"/>
  <c r="D31"/>
  <c r="E31" s="1"/>
  <c r="D25"/>
  <c r="E25" s="1"/>
  <c r="D19"/>
  <c r="E19" s="1"/>
  <c r="D14"/>
  <c r="D30"/>
  <c r="E30" s="1"/>
  <c r="E28"/>
  <c r="E27"/>
  <c r="E14"/>
  <c r="E4"/>
  <c r="D9"/>
  <c r="E9" s="1"/>
  <c r="D4"/>
  <c r="C39"/>
  <c r="C38"/>
  <c r="C37"/>
  <c r="J9" i="11" l="1"/>
  <c r="H110" i="25"/>
  <c r="H112" i="21"/>
  <c r="G10" i="10"/>
  <c r="E109" i="25"/>
  <c r="E111" i="21"/>
  <c r="E10" i="10"/>
  <c r="E75" i="21"/>
  <c r="E73" i="25"/>
  <c r="C11" i="10"/>
  <c r="E38" i="25"/>
  <c r="I38" s="1"/>
  <c r="E40" i="21"/>
  <c r="I40" s="1"/>
  <c r="G8" i="11"/>
  <c r="H75" i="21"/>
  <c r="H73" i="25"/>
  <c r="D11" i="11"/>
  <c r="H40" i="25"/>
  <c r="H42" i="21"/>
  <c r="D74" i="25"/>
  <c r="D73"/>
  <c r="I73" s="1"/>
  <c r="I109"/>
  <c r="F110"/>
  <c r="F112" i="21"/>
  <c r="D75"/>
  <c r="D110" i="25"/>
  <c r="D111" i="21"/>
  <c r="I111" s="1"/>
  <c r="E8" i="11"/>
  <c r="G74" i="25" s="1"/>
  <c r="G75" i="21"/>
  <c r="G111" i="25"/>
  <c r="G112" i="21"/>
  <c r="E38" i="1"/>
  <c r="E37"/>
  <c r="E39"/>
  <c r="G9" i="11" l="1"/>
  <c r="H74" i="25"/>
  <c r="H76" i="21"/>
  <c r="E11" i="10"/>
  <c r="E74" i="25"/>
  <c r="E76" i="21"/>
  <c r="J10" i="11"/>
  <c r="H113" i="21"/>
  <c r="H111" i="25"/>
  <c r="I74"/>
  <c r="D12" i="11"/>
  <c r="H41" i="25"/>
  <c r="H43" i="21"/>
  <c r="C12" i="10"/>
  <c r="E39" i="25"/>
  <c r="I39" s="1"/>
  <c r="E41" i="21"/>
  <c r="I41" s="1"/>
  <c r="G11" i="10"/>
  <c r="E110" i="25"/>
  <c r="E112" i="21"/>
  <c r="I110" i="25"/>
  <c r="F111"/>
  <c r="F113" i="21"/>
  <c r="I75"/>
  <c r="D111" i="25"/>
  <c r="D112" i="21"/>
  <c r="I112" s="1"/>
  <c r="D75" i="25"/>
  <c r="D76" i="21"/>
  <c r="G112" i="25"/>
  <c r="G113" i="21"/>
  <c r="E9" i="11"/>
  <c r="G75" i="25" s="1"/>
  <c r="G76" i="21"/>
  <c r="E70" i="1"/>
  <c r="G12" i="10" l="1"/>
  <c r="E111" i="25"/>
  <c r="I111" s="1"/>
  <c r="E113" i="21"/>
  <c r="D13" i="11"/>
  <c r="H42" i="25"/>
  <c r="H44" i="21"/>
  <c r="J11" i="11"/>
  <c r="H114" i="21"/>
  <c r="H112" i="25"/>
  <c r="G10" i="11"/>
  <c r="H75" i="25"/>
  <c r="H77" i="21"/>
  <c r="C13" i="10"/>
  <c r="E40" i="25"/>
  <c r="I40" s="1"/>
  <c r="E42" i="21"/>
  <c r="I42" s="1"/>
  <c r="E12" i="10"/>
  <c r="E75" i="25"/>
  <c r="I75" s="1"/>
  <c r="E77" i="21"/>
  <c r="I76"/>
  <c r="F112" i="25"/>
  <c r="F114" i="21"/>
  <c r="D76" i="25"/>
  <c r="D77" i="21"/>
  <c r="D112" i="25"/>
  <c r="D113" i="21"/>
  <c r="I113" s="1"/>
  <c r="E10" i="11"/>
  <c r="G76" i="25" s="1"/>
  <c r="G77" i="21"/>
  <c r="G113" i="25"/>
  <c r="G114" i="21"/>
  <c r="E16" i="6"/>
  <c r="E15"/>
  <c r="I77" i="21" l="1"/>
  <c r="E13" i="10"/>
  <c r="E76" i="25"/>
  <c r="E78" i="21"/>
  <c r="J12" i="11"/>
  <c r="H113" i="25"/>
  <c r="H115" i="21"/>
  <c r="G13" i="10"/>
  <c r="E114" i="21"/>
  <c r="E112" i="25"/>
  <c r="C14" i="10"/>
  <c r="E41" i="25"/>
  <c r="I41" s="1"/>
  <c r="E43" i="21"/>
  <c r="I43" s="1"/>
  <c r="G11" i="11"/>
  <c r="H76" i="25"/>
  <c r="H78" i="21"/>
  <c r="D14" i="11"/>
  <c r="H43" i="25"/>
  <c r="H45" i="21"/>
  <c r="I112" i="25"/>
  <c r="I76"/>
  <c r="F113"/>
  <c r="F115" i="21"/>
  <c r="D113" i="25"/>
  <c r="D114" i="21"/>
  <c r="I114" s="1"/>
  <c r="D77" i="25"/>
  <c r="D78" i="21"/>
  <c r="G114" i="25"/>
  <c r="G115" i="21"/>
  <c r="E11" i="11"/>
  <c r="G77" i="25" s="1"/>
  <c r="G78" i="21"/>
  <c r="E18" i="6"/>
  <c r="G12" i="11" l="1"/>
  <c r="H77" i="25"/>
  <c r="H79" i="21"/>
  <c r="G14" i="10"/>
  <c r="E113" i="25"/>
  <c r="E115" i="21"/>
  <c r="E14" i="10"/>
  <c r="E77" i="25"/>
  <c r="E79" i="21"/>
  <c r="I77" i="25"/>
  <c r="I113"/>
  <c r="D15" i="11"/>
  <c r="H44" i="25"/>
  <c r="H46" i="21"/>
  <c r="C15" i="10"/>
  <c r="E42" i="25"/>
  <c r="I42" s="1"/>
  <c r="E44" i="21"/>
  <c r="I44" s="1"/>
  <c r="J13" i="11"/>
  <c r="H116" i="21"/>
  <c r="H114" i="25"/>
  <c r="I78" i="21"/>
  <c r="F114" i="25"/>
  <c r="F116" i="21"/>
  <c r="D78" i="25"/>
  <c r="D79" i="21"/>
  <c r="D114" i="25"/>
  <c r="D115" i="21"/>
  <c r="I115" s="1"/>
  <c r="E12" i="11"/>
  <c r="G78" i="25" s="1"/>
  <c r="G79" i="21"/>
  <c r="I79" s="1"/>
  <c r="G115" i="25"/>
  <c r="G116" i="21"/>
  <c r="E17" i="14"/>
  <c r="E18" s="1"/>
  <c r="F21" s="1"/>
  <c r="C16" i="10" l="1"/>
  <c r="E43" i="25"/>
  <c r="I43" s="1"/>
  <c r="E45" i="21"/>
  <c r="I45" s="1"/>
  <c r="E15" i="10"/>
  <c r="E78" i="25"/>
  <c r="E80" i="21"/>
  <c r="G13" i="11"/>
  <c r="H78" i="25"/>
  <c r="H80" i="21"/>
  <c r="I78" i="25"/>
  <c r="J14" i="11"/>
  <c r="H115" i="25"/>
  <c r="H117" i="21"/>
  <c r="D16" i="11"/>
  <c r="H45" i="25"/>
  <c r="H47" i="21"/>
  <c r="G15" i="10"/>
  <c r="E114" i="25"/>
  <c r="E116" i="21"/>
  <c r="F115" i="25"/>
  <c r="F117" i="21"/>
  <c r="I114" i="25"/>
  <c r="D115"/>
  <c r="D116" i="21"/>
  <c r="I116" s="1"/>
  <c r="D79" i="25"/>
  <c r="D80" i="21"/>
  <c r="G116" i="25"/>
  <c r="G117" i="21"/>
  <c r="E13" i="11"/>
  <c r="G79" i="25" s="1"/>
  <c r="G80" i="21"/>
  <c r="H35" i="14"/>
  <c r="P35"/>
  <c r="K35"/>
  <c r="G16" i="10" l="1"/>
  <c r="E115" i="25"/>
  <c r="E117" i="21"/>
  <c r="J15" i="11"/>
  <c r="H116" i="25"/>
  <c r="H118" i="21"/>
  <c r="G14" i="11"/>
  <c r="H81" i="21"/>
  <c r="H79" i="25"/>
  <c r="C17" i="10"/>
  <c r="E44" i="25"/>
  <c r="I44" s="1"/>
  <c r="E46" i="21"/>
  <c r="I46" s="1"/>
  <c r="D17" i="11"/>
  <c r="H46" i="25"/>
  <c r="H48" i="21"/>
  <c r="E16" i="10"/>
  <c r="E81" i="21"/>
  <c r="E79" i="25"/>
  <c r="I79" s="1"/>
  <c r="I115"/>
  <c r="I80" i="21"/>
  <c r="J35" i="14"/>
  <c r="O35"/>
  <c r="O41" s="1"/>
  <c r="O28" s="1"/>
  <c r="G35"/>
  <c r="L35"/>
  <c r="L41" s="1"/>
  <c r="L28" s="1"/>
  <c r="M35"/>
  <c r="I35"/>
  <c r="D32"/>
  <c r="D27" s="1"/>
  <c r="N35"/>
  <c r="N41" s="1"/>
  <c r="N28" s="1"/>
  <c r="F118" i="21"/>
  <c r="F116" i="25"/>
  <c r="D80"/>
  <c r="D81" i="21"/>
  <c r="D116" i="25"/>
  <c r="D117" i="21"/>
  <c r="I117" s="1"/>
  <c r="E14" i="11"/>
  <c r="G80" i="25" s="1"/>
  <c r="G81" i="21"/>
  <c r="I81" s="1"/>
  <c r="G117" i="25"/>
  <c r="G118" i="21"/>
  <c r="K41" i="14"/>
  <c r="K28" s="1"/>
  <c r="G41"/>
  <c r="G28" s="1"/>
  <c r="P41"/>
  <c r="P28" s="1"/>
  <c r="H41"/>
  <c r="H28" s="1"/>
  <c r="M41"/>
  <c r="M28" s="1"/>
  <c r="I41"/>
  <c r="I28" s="1"/>
  <c r="E38"/>
  <c r="E42" s="1"/>
  <c r="J41"/>
  <c r="J28" s="1"/>
  <c r="D18" i="11" l="1"/>
  <c r="H47" i="25"/>
  <c r="H49" i="21"/>
  <c r="G15" i="11"/>
  <c r="H80" i="25"/>
  <c r="H82" i="21"/>
  <c r="G17" i="10"/>
  <c r="E116" i="25"/>
  <c r="E118" i="21"/>
  <c r="E29" i="14"/>
  <c r="E17" i="10"/>
  <c r="E82" i="21"/>
  <c r="E80" i="25"/>
  <c r="C18" i="10"/>
  <c r="E45" i="25"/>
  <c r="I45" s="1"/>
  <c r="E47" i="21"/>
  <c r="I47" s="1"/>
  <c r="J16" i="11"/>
  <c r="H117" i="25"/>
  <c r="H119" i="21"/>
  <c r="I80" i="25"/>
  <c r="I116"/>
  <c r="F117"/>
  <c r="F119" i="21"/>
  <c r="D117" i="25"/>
  <c r="D118" i="21"/>
  <c r="I118" s="1"/>
  <c r="D81" i="25"/>
  <c r="D82" i="21"/>
  <c r="G118" i="25"/>
  <c r="G119" i="21"/>
  <c r="E15" i="11"/>
  <c r="G81" i="25" s="1"/>
  <c r="G82" i="21"/>
  <c r="E37" i="14"/>
  <c r="E44"/>
  <c r="E32" s="1"/>
  <c r="F36" s="1"/>
  <c r="E43"/>
  <c r="E31" s="1"/>
  <c r="J17" i="11" l="1"/>
  <c r="H118" i="25"/>
  <c r="H120" i="21"/>
  <c r="E18" i="10"/>
  <c r="E83" i="21"/>
  <c r="E81" i="25"/>
  <c r="G18" i="10"/>
  <c r="E117" i="25"/>
  <c r="E119" i="21"/>
  <c r="D19" i="11"/>
  <c r="H48" i="25"/>
  <c r="H50" i="21"/>
  <c r="C19" i="10"/>
  <c r="E46" i="25"/>
  <c r="I46" s="1"/>
  <c r="E48" i="21"/>
  <c r="I48" s="1"/>
  <c r="G16" i="11"/>
  <c r="H81" i="25"/>
  <c r="H83" i="21"/>
  <c r="I81" i="25"/>
  <c r="I117"/>
  <c r="F118"/>
  <c r="F120" i="21"/>
  <c r="I82"/>
  <c r="D82" i="25"/>
  <c r="D83" i="21"/>
  <c r="D118" i="25"/>
  <c r="D119" i="21"/>
  <c r="I119" s="1"/>
  <c r="E16" i="11"/>
  <c r="G82" i="25" s="1"/>
  <c r="G83" i="21"/>
  <c r="G119" i="25"/>
  <c r="G120" i="21"/>
  <c r="F38" i="14"/>
  <c r="E27"/>
  <c r="C20" i="10" l="1"/>
  <c r="E47" i="25"/>
  <c r="I47" s="1"/>
  <c r="E49" i="21"/>
  <c r="I49" s="1"/>
  <c r="G19" i="10"/>
  <c r="E118" i="25"/>
  <c r="I118" s="1"/>
  <c r="E120" i="21"/>
  <c r="J18" i="11"/>
  <c r="H119" i="25"/>
  <c r="H121" i="21"/>
  <c r="G17" i="11"/>
  <c r="H82" i="25"/>
  <c r="H84" i="21"/>
  <c r="D20" i="11"/>
  <c r="H49" i="25"/>
  <c r="H51" i="21"/>
  <c r="E19" i="10"/>
  <c r="E82" i="25"/>
  <c r="E84" i="21"/>
  <c r="I82" i="25"/>
  <c r="F121" i="21"/>
  <c r="F119" i="25"/>
  <c r="I83" i="21"/>
  <c r="D119" i="25"/>
  <c r="D120" i="21"/>
  <c r="I120" s="1"/>
  <c r="D83" i="25"/>
  <c r="D84" i="21"/>
  <c r="G120" i="25"/>
  <c r="G121" i="21"/>
  <c r="E17" i="11"/>
  <c r="G83" i="25" s="1"/>
  <c r="G84" i="21"/>
  <c r="F42" i="14"/>
  <c r="F43" s="1"/>
  <c r="F44"/>
  <c r="F32" s="1"/>
  <c r="F37"/>
  <c r="D21" i="11" l="1"/>
  <c r="H50" i="25"/>
  <c r="H52" i="21"/>
  <c r="J19" i="11"/>
  <c r="H122" i="21"/>
  <c r="H120" i="25"/>
  <c r="C21" i="10"/>
  <c r="E48" i="25"/>
  <c r="I48" s="1"/>
  <c r="E50" i="21"/>
  <c r="I50" s="1"/>
  <c r="E20" i="10"/>
  <c r="E83" i="25"/>
  <c r="E85" i="21"/>
  <c r="G18" i="11"/>
  <c r="H83" i="25"/>
  <c r="I83" s="1"/>
  <c r="H85" i="21"/>
  <c r="G20" i="10"/>
  <c r="E119" i="25"/>
  <c r="I119" s="1"/>
  <c r="E121" i="21"/>
  <c r="I84"/>
  <c r="F120" i="25"/>
  <c r="F122" i="21"/>
  <c r="D84" i="25"/>
  <c r="D85" i="21"/>
  <c r="D120" i="25"/>
  <c r="D121" i="21"/>
  <c r="I121" s="1"/>
  <c r="E18" i="11"/>
  <c r="G84" i="25" s="1"/>
  <c r="G85" i="21"/>
  <c r="I85" s="1"/>
  <c r="G121" i="25"/>
  <c r="G122" i="21"/>
  <c r="F31" i="14"/>
  <c r="F29"/>
  <c r="G38"/>
  <c r="F27"/>
  <c r="G36"/>
  <c r="G19" i="11" l="1"/>
  <c r="H84" i="25"/>
  <c r="H86" i="21"/>
  <c r="C22" i="10"/>
  <c r="E49" i="25"/>
  <c r="I49" s="1"/>
  <c r="E51" i="21"/>
  <c r="I51" s="1"/>
  <c r="D22" i="11"/>
  <c r="H51" i="25"/>
  <c r="H53" i="21"/>
  <c r="G21" i="10"/>
  <c r="E120" i="25"/>
  <c r="I120" s="1"/>
  <c r="E122" i="21"/>
  <c r="E21" i="10"/>
  <c r="E84" i="25"/>
  <c r="I84" s="1"/>
  <c r="E86" i="21"/>
  <c r="J20" i="11"/>
  <c r="H121" i="25"/>
  <c r="H123" i="21"/>
  <c r="F121" i="25"/>
  <c r="F123" i="21"/>
  <c r="D121" i="25"/>
  <c r="D122" i="21"/>
  <c r="I122" s="1"/>
  <c r="D85" i="25"/>
  <c r="D86" i="21"/>
  <c r="G122" i="25"/>
  <c r="G123" i="21"/>
  <c r="E19" i="11"/>
  <c r="G85" i="25" s="1"/>
  <c r="G86" i="21"/>
  <c r="G37" i="14"/>
  <c r="G44"/>
  <c r="G32" s="1"/>
  <c r="G42"/>
  <c r="G43" s="1"/>
  <c r="E22" i="10" l="1"/>
  <c r="E85" i="25"/>
  <c r="I85" s="1"/>
  <c r="E87" i="21"/>
  <c r="D23" i="11"/>
  <c r="H52" i="25"/>
  <c r="H54" i="21"/>
  <c r="G20" i="11"/>
  <c r="H87" i="21"/>
  <c r="H85" i="25"/>
  <c r="J21" i="11"/>
  <c r="H124" i="21"/>
  <c r="H122" i="25"/>
  <c r="G22" i="10"/>
  <c r="E123" i="21"/>
  <c r="E121" i="25"/>
  <c r="C23" i="10"/>
  <c r="E50" i="25"/>
  <c r="I50" s="1"/>
  <c r="E52" i="21"/>
  <c r="I52" s="1"/>
  <c r="I86"/>
  <c r="F122" i="25"/>
  <c r="F124" i="21"/>
  <c r="I121" i="25"/>
  <c r="D86"/>
  <c r="D87" i="21"/>
  <c r="D122" i="25"/>
  <c r="D123" i="21"/>
  <c r="I123" s="1"/>
  <c r="E20" i="11"/>
  <c r="G86" i="25" s="1"/>
  <c r="G87" i="21"/>
  <c r="G123" i="25"/>
  <c r="G124" i="21"/>
  <c r="H38" i="14"/>
  <c r="H36"/>
  <c r="G27"/>
  <c r="G31"/>
  <c r="G29"/>
  <c r="G23" i="10" l="1"/>
  <c r="E124" i="21"/>
  <c r="E122" i="25"/>
  <c r="G21" i="11"/>
  <c r="H86" i="25"/>
  <c r="H88" i="21"/>
  <c r="E23" i="10"/>
  <c r="E86" i="25"/>
  <c r="E88" i="21"/>
  <c r="C24" i="10"/>
  <c r="E51" i="25"/>
  <c r="I51" s="1"/>
  <c r="E53" i="21"/>
  <c r="I53" s="1"/>
  <c r="J22" i="11"/>
  <c r="H123" i="25"/>
  <c r="H125" i="21"/>
  <c r="D24" i="11"/>
  <c r="H53" i="25"/>
  <c r="H55" i="21"/>
  <c r="I122" i="25"/>
  <c r="I86"/>
  <c r="I87" i="21"/>
  <c r="F125"/>
  <c r="F123" i="25"/>
  <c r="D123"/>
  <c r="D124" i="21"/>
  <c r="I124" s="1"/>
  <c r="D87" i="25"/>
  <c r="D88" i="21"/>
  <c r="G124" i="25"/>
  <c r="G125" i="21"/>
  <c r="E21" i="11"/>
  <c r="G87" i="25" s="1"/>
  <c r="G88" i="21"/>
  <c r="H37" i="14"/>
  <c r="H42"/>
  <c r="H43" s="1"/>
  <c r="H44"/>
  <c r="H32" s="1"/>
  <c r="J23" i="11" l="1"/>
  <c r="H124" i="25"/>
  <c r="H126" i="21"/>
  <c r="E24" i="10"/>
  <c r="E87" i="25"/>
  <c r="E89" i="21"/>
  <c r="G24" i="10"/>
  <c r="E125" i="21"/>
  <c r="E123" i="25"/>
  <c r="D25" i="11"/>
  <c r="H54" i="25"/>
  <c r="H56" i="21"/>
  <c r="C25" i="10"/>
  <c r="E52" i="25"/>
  <c r="I52" s="1"/>
  <c r="E54" i="21"/>
  <c r="I54" s="1"/>
  <c r="G22" i="11"/>
  <c r="H89" i="21"/>
  <c r="H87" i="25"/>
  <c r="I87" s="1"/>
  <c r="I123"/>
  <c r="I88" i="21"/>
  <c r="F124" i="25"/>
  <c r="F126" i="21"/>
  <c r="D88" i="25"/>
  <c r="D89" i="21"/>
  <c r="D124" i="25"/>
  <c r="D125" i="21"/>
  <c r="I125" s="1"/>
  <c r="E22" i="11"/>
  <c r="G88" i="25" s="1"/>
  <c r="G89" i="21"/>
  <c r="G125" i="25"/>
  <c r="G126" i="21"/>
  <c r="H31" i="14"/>
  <c r="H29"/>
  <c r="I38"/>
  <c r="I36"/>
  <c r="H27"/>
  <c r="G23" i="11" l="1"/>
  <c r="H88" i="25"/>
  <c r="H90" i="21"/>
  <c r="D26" i="11"/>
  <c r="H55" i="25"/>
  <c r="H57" i="21"/>
  <c r="G25" i="10"/>
  <c r="E124" i="25"/>
  <c r="E126" i="21"/>
  <c r="J24" i="11"/>
  <c r="H125" i="25"/>
  <c r="H127" i="21"/>
  <c r="C26" i="10"/>
  <c r="E53" i="25"/>
  <c r="I53" s="1"/>
  <c r="E55" i="21"/>
  <c r="I55" s="1"/>
  <c r="E25" i="10"/>
  <c r="E90" i="21"/>
  <c r="E88" i="25"/>
  <c r="I88" s="1"/>
  <c r="I124"/>
  <c r="I89" i="21"/>
  <c r="F127"/>
  <c r="F125" i="25"/>
  <c r="D125"/>
  <c r="D126" i="21"/>
  <c r="I126" s="1"/>
  <c r="D89" i="25"/>
  <c r="D90" i="21"/>
  <c r="G126" i="25"/>
  <c r="G127" i="21"/>
  <c r="E23" i="11"/>
  <c r="G89" i="25" s="1"/>
  <c r="G90" i="21"/>
  <c r="I90" s="1"/>
  <c r="I37" i="14"/>
  <c r="I42"/>
  <c r="I43" s="1"/>
  <c r="I44"/>
  <c r="I32" s="1"/>
  <c r="C27" i="10" l="1"/>
  <c r="E54" i="25"/>
  <c r="I54" s="1"/>
  <c r="E56" i="21"/>
  <c r="I56" s="1"/>
  <c r="G26" i="10"/>
  <c r="E127" i="21"/>
  <c r="E125" i="25"/>
  <c r="G24" i="11"/>
  <c r="H91" i="21"/>
  <c r="H89" i="25"/>
  <c r="I89"/>
  <c r="E26" i="10"/>
  <c r="E91" i="21"/>
  <c r="E89" i="25"/>
  <c r="J25" i="11"/>
  <c r="H126" i="25"/>
  <c r="H128" i="21"/>
  <c r="D27" i="11"/>
  <c r="H56" i="25"/>
  <c r="H58" i="21"/>
  <c r="I125" i="25"/>
  <c r="F126"/>
  <c r="F128" i="21"/>
  <c r="D90" i="25"/>
  <c r="D91" i="21"/>
  <c r="D126" i="25"/>
  <c r="D127" i="21"/>
  <c r="I127" s="1"/>
  <c r="E24" i="11"/>
  <c r="G90" i="25" s="1"/>
  <c r="G91" i="21"/>
  <c r="I91" s="1"/>
  <c r="G127" i="25"/>
  <c r="G128" i="21"/>
  <c r="I31" i="14"/>
  <c r="I29"/>
  <c r="J38"/>
  <c r="I27"/>
  <c r="J36"/>
  <c r="D28" i="11" l="1"/>
  <c r="H57" i="25"/>
  <c r="H59" i="21"/>
  <c r="E27" i="10"/>
  <c r="E90" i="25"/>
  <c r="E92" i="21"/>
  <c r="G25" i="11"/>
  <c r="H90" i="25"/>
  <c r="I90" s="1"/>
  <c r="H92" i="21"/>
  <c r="C28" i="10"/>
  <c r="E55" i="25"/>
  <c r="I55" s="1"/>
  <c r="E57" i="21"/>
  <c r="I57" s="1"/>
  <c r="J26" i="11"/>
  <c r="H129" i="21"/>
  <c r="H127" i="25"/>
  <c r="G27" i="10"/>
  <c r="E128" i="21"/>
  <c r="E126" i="25"/>
  <c r="I126" s="1"/>
  <c r="F127"/>
  <c r="F129" i="21"/>
  <c r="D127" i="25"/>
  <c r="D128" i="21"/>
  <c r="I128" s="1"/>
  <c r="D91" i="25"/>
  <c r="D92" i="21"/>
  <c r="G128" i="25"/>
  <c r="G129" i="21"/>
  <c r="E25" i="11"/>
  <c r="G91" i="25" s="1"/>
  <c r="G92" i="21"/>
  <c r="J37" i="14"/>
  <c r="J42"/>
  <c r="J43" s="1"/>
  <c r="J44"/>
  <c r="J32" s="1"/>
  <c r="J27" i="11" l="1"/>
  <c r="H128" i="25"/>
  <c r="H130" i="21"/>
  <c r="G26" i="11"/>
  <c r="H91" i="25"/>
  <c r="H93" i="21"/>
  <c r="D29" i="11"/>
  <c r="H58" i="25"/>
  <c r="H60" i="21"/>
  <c r="G28" i="10"/>
  <c r="E127" i="25"/>
  <c r="E129" i="21"/>
  <c r="C29" i="10"/>
  <c r="E56" i="25"/>
  <c r="I56" s="1"/>
  <c r="E58" i="21"/>
  <c r="I58" s="1"/>
  <c r="E28" i="10"/>
  <c r="E91" i="25"/>
  <c r="I91" s="1"/>
  <c r="E93" i="21"/>
  <c r="I127" i="25"/>
  <c r="F128"/>
  <c r="F130" i="21"/>
  <c r="I92"/>
  <c r="D92" i="25"/>
  <c r="D93" i="21"/>
  <c r="D128" i="25"/>
  <c r="D129" i="21"/>
  <c r="I129" s="1"/>
  <c r="E26" i="11"/>
  <c r="G92" i="25" s="1"/>
  <c r="G93" i="21"/>
  <c r="I93" s="1"/>
  <c r="G129" i="25"/>
  <c r="G130" i="21"/>
  <c r="K38" i="14"/>
  <c r="J27"/>
  <c r="K36"/>
  <c r="J31"/>
  <c r="J29"/>
  <c r="E29" i="10" l="1"/>
  <c r="E92" i="25"/>
  <c r="E94" i="21"/>
  <c r="C30" i="10"/>
  <c r="E57" i="25"/>
  <c r="I57" s="1"/>
  <c r="E59" i="21"/>
  <c r="I59" s="1"/>
  <c r="G27" i="11"/>
  <c r="H92" i="25"/>
  <c r="H94" i="21"/>
  <c r="J28" i="11"/>
  <c r="H129" i="25"/>
  <c r="H131" i="21"/>
  <c r="G29" i="10"/>
  <c r="E130" i="21"/>
  <c r="E128" i="25"/>
  <c r="I128" s="1"/>
  <c r="D30" i="11"/>
  <c r="H59" i="25"/>
  <c r="H61" i="21"/>
  <c r="I92" i="25"/>
  <c r="F129"/>
  <c r="F131" i="21"/>
  <c r="D129" i="25"/>
  <c r="D130" i="21"/>
  <c r="I130" s="1"/>
  <c r="D93" i="25"/>
  <c r="D94" i="21"/>
  <c r="G130" i="25"/>
  <c r="G131" i="21"/>
  <c r="E27" i="11"/>
  <c r="G93" i="25" s="1"/>
  <c r="G94" i="21"/>
  <c r="K37" i="14"/>
  <c r="K42"/>
  <c r="K43" s="1"/>
  <c r="K44"/>
  <c r="K32" s="1"/>
  <c r="D31" i="11" l="1"/>
  <c r="H60" i="25"/>
  <c r="H62" i="21"/>
  <c r="G30" i="10"/>
  <c r="E131" i="21"/>
  <c r="E129" i="25"/>
  <c r="I129" s="1"/>
  <c r="E30" i="10"/>
  <c r="E93" i="25"/>
  <c r="E95" i="21"/>
  <c r="J29" i="11"/>
  <c r="H130" i="25"/>
  <c r="H132" i="21"/>
  <c r="G28" i="11"/>
  <c r="H93" i="25"/>
  <c r="I93" s="1"/>
  <c r="H95" i="21"/>
  <c r="C31" i="10"/>
  <c r="E58" i="25"/>
  <c r="I58" s="1"/>
  <c r="E60" i="21"/>
  <c r="I60" s="1"/>
  <c r="I94"/>
  <c r="F132"/>
  <c r="F130" i="25"/>
  <c r="D94"/>
  <c r="D95" i="21"/>
  <c r="D130" i="25"/>
  <c r="D131" i="21"/>
  <c r="I131" s="1"/>
  <c r="G131" i="25"/>
  <c r="G132" i="21"/>
  <c r="E28" i="11"/>
  <c r="G94" i="25" s="1"/>
  <c r="G95" i="21"/>
  <c r="I95" s="1"/>
  <c r="L38" i="14"/>
  <c r="K27"/>
  <c r="L36"/>
  <c r="K31"/>
  <c r="K29"/>
  <c r="C32" i="10" l="1"/>
  <c r="E59" i="25"/>
  <c r="I59" s="1"/>
  <c r="E61" i="21"/>
  <c r="I61" s="1"/>
  <c r="D32" i="11"/>
  <c r="H61" i="25"/>
  <c r="H63" i="21"/>
  <c r="G29" i="11"/>
  <c r="H94" i="25"/>
  <c r="H96" i="21"/>
  <c r="J30" i="11"/>
  <c r="H133" i="21"/>
  <c r="H131" i="25"/>
  <c r="E31" i="10"/>
  <c r="E94" i="25"/>
  <c r="I94" s="1"/>
  <c r="E96" i="21"/>
  <c r="G31" i="10"/>
  <c r="E132" i="21"/>
  <c r="E130" i="25"/>
  <c r="I130"/>
  <c r="F131"/>
  <c r="F133" i="21"/>
  <c r="D131" i="25"/>
  <c r="D132" i="21"/>
  <c r="I132" s="1"/>
  <c r="D95" i="25"/>
  <c r="D96" i="21"/>
  <c r="G132" i="25"/>
  <c r="G133" i="21"/>
  <c r="E29" i="11"/>
  <c r="G95" i="25" s="1"/>
  <c r="G96" i="21"/>
  <c r="L37" i="14"/>
  <c r="L42"/>
  <c r="L43" s="1"/>
  <c r="L44"/>
  <c r="L32" s="1"/>
  <c r="G32" i="10" l="1"/>
  <c r="E131" i="25"/>
  <c r="E133" i="21"/>
  <c r="E32" i="10"/>
  <c r="E95" i="25"/>
  <c r="I95" s="1"/>
  <c r="E97" i="21"/>
  <c r="J31" i="11"/>
  <c r="H134" i="21"/>
  <c r="H132" i="25"/>
  <c r="G30" i="11"/>
  <c r="H95" i="25"/>
  <c r="H97" i="21"/>
  <c r="D33" i="11"/>
  <c r="H62" i="25"/>
  <c r="H64" i="21"/>
  <c r="C33" i="10"/>
  <c r="E60" i="25"/>
  <c r="I60" s="1"/>
  <c r="E62" i="21"/>
  <c r="I62" s="1"/>
  <c r="I131" i="25"/>
  <c r="F132"/>
  <c r="F134" i="21"/>
  <c r="I96"/>
  <c r="D132" i="25"/>
  <c r="D133" i="21"/>
  <c r="I133" s="1"/>
  <c r="D96" i="25"/>
  <c r="D97" i="21"/>
  <c r="G133" i="25"/>
  <c r="G134" i="21"/>
  <c r="E30" i="11"/>
  <c r="G96" i="25" s="1"/>
  <c r="G97" i="21"/>
  <c r="L31" i="14"/>
  <c r="L29"/>
  <c r="M38"/>
  <c r="L27"/>
  <c r="M36"/>
  <c r="C34" i="10" l="1"/>
  <c r="E61" i="25"/>
  <c r="I61" s="1"/>
  <c r="E63" i="21"/>
  <c r="I63" s="1"/>
  <c r="D34" i="11"/>
  <c r="H63" i="25"/>
  <c r="H65" i="21"/>
  <c r="G31" i="11"/>
  <c r="H96" i="25"/>
  <c r="H98" i="21"/>
  <c r="J32" i="11"/>
  <c r="H133" i="25"/>
  <c r="E33" i="10"/>
  <c r="E96" i="25"/>
  <c r="I96" s="1"/>
  <c r="E98" i="21"/>
  <c r="G33" i="10"/>
  <c r="E132" i="25"/>
  <c r="I132" s="1"/>
  <c r="E134" i="21"/>
  <c r="F133" i="25"/>
  <c r="F135" i="21"/>
  <c r="I97"/>
  <c r="D97" i="25"/>
  <c r="D98" i="21"/>
  <c r="D133" i="25"/>
  <c r="D134" i="21"/>
  <c r="I134" s="1"/>
  <c r="G134" i="25"/>
  <c r="G135" i="21"/>
  <c r="E31" i="11"/>
  <c r="G97" i="25" s="1"/>
  <c r="G98" i="21"/>
  <c r="M37" i="14"/>
  <c r="M44"/>
  <c r="M32" s="1"/>
  <c r="M42"/>
  <c r="M43" s="1"/>
  <c r="G34" i="10" l="1"/>
  <c r="E133" i="25"/>
  <c r="E135" i="21"/>
  <c r="E34" i="10"/>
  <c r="E97" i="25"/>
  <c r="E99" i="21"/>
  <c r="J33" i="11"/>
  <c r="H136" i="21"/>
  <c r="H134" i="25"/>
  <c r="G32" i="11"/>
  <c r="H97" i="25"/>
  <c r="H99" i="21"/>
  <c r="I97" i="25"/>
  <c r="D35" i="11"/>
  <c r="H64" i="25"/>
  <c r="H66" i="21"/>
  <c r="C35" i="10"/>
  <c r="E62" i="25"/>
  <c r="I62" s="1"/>
  <c r="E64" i="21"/>
  <c r="I64" s="1"/>
  <c r="I133" i="25"/>
  <c r="M31" i="14"/>
  <c r="I98" i="21"/>
  <c r="F134" i="25"/>
  <c r="F136" i="21"/>
  <c r="D98" i="25"/>
  <c r="D99" i="21"/>
  <c r="D134" i="25"/>
  <c r="D135" i="21"/>
  <c r="I135" s="1"/>
  <c r="G135" i="25"/>
  <c r="G136" i="21"/>
  <c r="E32" i="11"/>
  <c r="G98" i="25" s="1"/>
  <c r="G99" i="21"/>
  <c r="I99" s="1"/>
  <c r="N38" i="14"/>
  <c r="N36"/>
  <c r="M27"/>
  <c r="M29"/>
  <c r="G33" i="11" l="1"/>
  <c r="H98" i="25"/>
  <c r="H100" i="21"/>
  <c r="J34" i="11"/>
  <c r="H137" i="21"/>
  <c r="H135" i="25"/>
  <c r="E35" i="10"/>
  <c r="E100" i="21"/>
  <c r="E98" i="25"/>
  <c r="G35" i="10"/>
  <c r="E134" i="25"/>
  <c r="I134" s="1"/>
  <c r="E136" i="21"/>
  <c r="C36" i="10"/>
  <c r="E63" i="25"/>
  <c r="I63" s="1"/>
  <c r="E65" i="21"/>
  <c r="I65" s="1"/>
  <c r="H65" i="25"/>
  <c r="H67" i="21"/>
  <c r="I98" i="25"/>
  <c r="F135"/>
  <c r="F137" i="21"/>
  <c r="D99" i="25"/>
  <c r="D100" i="21"/>
  <c r="D135" i="25"/>
  <c r="D136" i="21"/>
  <c r="I136" s="1"/>
  <c r="G136" i="25"/>
  <c r="G137" i="21"/>
  <c r="E33" i="11"/>
  <c r="G99" i="25" s="1"/>
  <c r="G100" i="21"/>
  <c r="N37" i="14"/>
  <c r="N44"/>
  <c r="N32" s="1"/>
  <c r="N42"/>
  <c r="N43" s="1"/>
  <c r="N31" s="1"/>
  <c r="C37" i="10" l="1"/>
  <c r="E64" i="25"/>
  <c r="I64" s="1"/>
  <c r="E66" i="21"/>
  <c r="I66" s="1"/>
  <c r="G36" i="10"/>
  <c r="E135" i="25"/>
  <c r="E137" i="21"/>
  <c r="E36" i="10"/>
  <c r="E99" i="25"/>
  <c r="E101" i="21"/>
  <c r="J35" i="11"/>
  <c r="H136" i="25"/>
  <c r="H138" i="21"/>
  <c r="G34" i="11"/>
  <c r="H99" i="25"/>
  <c r="H101" i="21"/>
  <c r="I135" i="25"/>
  <c r="I99"/>
  <c r="F136"/>
  <c r="F138" i="21"/>
  <c r="I100"/>
  <c r="D100" i="25"/>
  <c r="D101" i="21"/>
  <c r="D136" i="25"/>
  <c r="D137" i="21"/>
  <c r="I137" s="1"/>
  <c r="G137" i="25"/>
  <c r="G138" i="21"/>
  <c r="E34" i="11"/>
  <c r="G100" i="25" s="1"/>
  <c r="G101" i="21"/>
  <c r="O38" i="14"/>
  <c r="O36"/>
  <c r="N27"/>
  <c r="N29"/>
  <c r="G35" i="11" l="1"/>
  <c r="H100" i="25"/>
  <c r="H102" i="21"/>
  <c r="H139"/>
  <c r="H137" i="25"/>
  <c r="E37" i="10"/>
  <c r="E100" i="25"/>
  <c r="E102" i="21"/>
  <c r="G37" i="10"/>
  <c r="E138" i="21"/>
  <c r="E136" i="25"/>
  <c r="E65"/>
  <c r="I65" s="1"/>
  <c r="E67" i="21"/>
  <c r="I67" s="1"/>
  <c r="I136" i="25"/>
  <c r="F137"/>
  <c r="F139" i="21"/>
  <c r="I101"/>
  <c r="D101" i="25"/>
  <c r="D102" i="21"/>
  <c r="D137" i="25"/>
  <c r="D138" i="21"/>
  <c r="I138" s="1"/>
  <c r="G139"/>
  <c r="E35" i="11"/>
  <c r="G101" i="25" s="1"/>
  <c r="G102" i="21"/>
  <c r="O37" i="14"/>
  <c r="O44"/>
  <c r="O32" s="1"/>
  <c r="O42"/>
  <c r="O43" s="1"/>
  <c r="O31" s="1"/>
  <c r="I100" i="25" l="1"/>
  <c r="H101"/>
  <c r="H103" i="21"/>
  <c r="E137" i="25"/>
  <c r="I137" s="1"/>
  <c r="E139" i="21"/>
  <c r="E101" i="25"/>
  <c r="E103" i="21"/>
  <c r="I101" i="25"/>
  <c r="I102" i="21"/>
  <c r="D103"/>
  <c r="D139"/>
  <c r="I139" s="1"/>
  <c r="G103"/>
  <c r="P38" i="14"/>
  <c r="P36"/>
  <c r="O27"/>
  <c r="O29"/>
  <c r="I103" i="21" l="1"/>
  <c r="P44" i="14"/>
  <c r="P32" s="1"/>
  <c r="P42"/>
  <c r="P43" s="1"/>
  <c r="P37"/>
  <c r="Q38" l="1"/>
  <c r="Q36"/>
  <c r="P27"/>
  <c r="P31"/>
  <c r="P29"/>
  <c r="Q37" l="1"/>
  <c r="Q44"/>
  <c r="Q32" s="1"/>
  <c r="Q42"/>
  <c r="Q43" s="1"/>
  <c r="R38" l="1"/>
  <c r="Q27"/>
  <c r="R36"/>
  <c r="Q29"/>
  <c r="Q31"/>
  <c r="R37" l="1"/>
  <c r="R44"/>
  <c r="R32" s="1"/>
  <c r="R42"/>
  <c r="R43" s="1"/>
  <c r="R31" s="1"/>
  <c r="S38" l="1"/>
  <c r="S36"/>
  <c r="R27"/>
  <c r="R29"/>
  <c r="S37" l="1"/>
  <c r="S44"/>
  <c r="S32" s="1"/>
  <c r="S42"/>
  <c r="S43" s="1"/>
  <c r="S31" l="1"/>
  <c r="T38"/>
  <c r="T36"/>
  <c r="S27"/>
  <c r="S29"/>
  <c r="T37" l="1"/>
  <c r="T44"/>
  <c r="T32" s="1"/>
  <c r="T42"/>
  <c r="T43" s="1"/>
  <c r="T31" s="1"/>
  <c r="U38" l="1"/>
  <c r="U36"/>
  <c r="T27"/>
  <c r="T29"/>
  <c r="U37" l="1"/>
  <c r="U44"/>
  <c r="U32" s="1"/>
  <c r="U42"/>
  <c r="U43" s="1"/>
  <c r="U31" s="1"/>
  <c r="V38" l="1"/>
  <c r="V36"/>
  <c r="U27"/>
  <c r="U29"/>
  <c r="V37" l="1"/>
  <c r="V44"/>
  <c r="V32" s="1"/>
  <c r="V42"/>
  <c r="V43" s="1"/>
  <c r="V31" s="1"/>
  <c r="W38" l="1"/>
  <c r="W36"/>
  <c r="V27"/>
  <c r="V29"/>
  <c r="W37" l="1"/>
  <c r="W44"/>
  <c r="W32" s="1"/>
  <c r="W42"/>
  <c r="W43" s="1"/>
  <c r="W31" s="1"/>
  <c r="X38" l="1"/>
  <c r="X36"/>
  <c r="W27"/>
  <c r="W29"/>
  <c r="X37" l="1"/>
  <c r="X44"/>
  <c r="X32" s="1"/>
  <c r="X42"/>
  <c r="X43" s="1"/>
  <c r="Y38" l="1"/>
  <c r="X27"/>
  <c r="Y36"/>
  <c r="X29"/>
  <c r="X31"/>
  <c r="Y37" l="1"/>
  <c r="Y44"/>
  <c r="Y32" s="1"/>
  <c r="Y27" s="1"/>
  <c r="Y42"/>
  <c r="Y43" s="1"/>
  <c r="Y31" l="1"/>
  <c r="Y29"/>
</calcChain>
</file>

<file path=xl/sharedStrings.xml><?xml version="1.0" encoding="utf-8"?>
<sst xmlns="http://schemas.openxmlformats.org/spreadsheetml/2006/main" count="1865" uniqueCount="483">
  <si>
    <t>DESCRIPCIÓN</t>
  </si>
  <si>
    <t>U. M.</t>
  </si>
  <si>
    <t>CANTIDAD</t>
  </si>
  <si>
    <t>Cable de AlAc de 95/15mm2</t>
  </si>
  <si>
    <t>m</t>
  </si>
  <si>
    <t>Cable de Acero Galvanizado de 35mm2, MN100</t>
  </si>
  <si>
    <r>
      <t>Vínculo de H</t>
    </r>
    <r>
      <rPr>
        <sz val="11"/>
        <color theme="1"/>
        <rFont val="Calibri"/>
        <family val="2"/>
      </rPr>
      <t>ᵒ</t>
    </r>
    <r>
      <rPr>
        <sz val="11"/>
        <color theme="1"/>
        <rFont val="Calibri"/>
        <family val="2"/>
        <scheme val="minor"/>
      </rPr>
      <t xml:space="preserve"> A</t>
    </r>
    <r>
      <rPr>
        <sz val="11"/>
        <color theme="1"/>
        <rFont val="Calibri"/>
        <family val="2"/>
      </rPr>
      <t>ᵒ</t>
    </r>
    <r>
      <rPr>
        <sz val="11"/>
        <color theme="1"/>
        <rFont val="Calibri"/>
        <family val="2"/>
        <scheme val="minor"/>
      </rPr>
      <t xml:space="preserve">  tipo C 7</t>
    </r>
  </si>
  <si>
    <r>
      <t>Vínculo de H</t>
    </r>
    <r>
      <rPr>
        <sz val="11"/>
        <color theme="1"/>
        <rFont val="Calibri"/>
        <family val="2"/>
      </rPr>
      <t>ᵒ</t>
    </r>
    <r>
      <rPr>
        <sz val="11"/>
        <color theme="1"/>
        <rFont val="Calibri"/>
        <family val="2"/>
        <scheme val="minor"/>
      </rPr>
      <t xml:space="preserve"> A</t>
    </r>
    <r>
      <rPr>
        <sz val="11"/>
        <color theme="1"/>
        <rFont val="Calibri"/>
        <family val="2"/>
      </rPr>
      <t>ᵒ</t>
    </r>
    <r>
      <rPr>
        <sz val="11"/>
        <color theme="1"/>
        <rFont val="Calibri"/>
        <family val="2"/>
        <scheme val="minor"/>
      </rPr>
      <t xml:space="preserve">  tipo C 5</t>
    </r>
  </si>
  <si>
    <r>
      <t>Vínculo superior de H</t>
    </r>
    <r>
      <rPr>
        <sz val="11"/>
        <color theme="1"/>
        <rFont val="Calibri"/>
        <family val="2"/>
      </rPr>
      <t>ᵒ</t>
    </r>
    <r>
      <rPr>
        <sz val="11"/>
        <color theme="1"/>
        <rFont val="Calibri"/>
        <family val="2"/>
        <scheme val="minor"/>
      </rPr>
      <t xml:space="preserve"> A</t>
    </r>
    <r>
      <rPr>
        <sz val="11"/>
        <color theme="1"/>
        <rFont val="Calibri"/>
        <family val="2"/>
      </rPr>
      <t>ᵒ</t>
    </r>
    <r>
      <rPr>
        <sz val="11"/>
        <color theme="1"/>
        <rFont val="Calibri"/>
        <family val="2"/>
        <scheme val="minor"/>
      </rPr>
      <t xml:space="preserve">  tipo C</t>
    </r>
    <r>
      <rPr>
        <sz val="11"/>
        <color theme="1"/>
        <rFont val="Calibri"/>
        <family val="2"/>
        <scheme val="minor"/>
      </rPr>
      <t/>
    </r>
  </si>
  <si>
    <r>
      <t>Columna de H</t>
    </r>
    <r>
      <rPr>
        <sz val="11"/>
        <color theme="1"/>
        <rFont val="Calibri"/>
        <family val="2"/>
      </rPr>
      <t>ᵒ</t>
    </r>
    <r>
      <rPr>
        <sz val="11"/>
        <color theme="1"/>
        <rFont val="Calibri"/>
        <family val="2"/>
        <scheme val="minor"/>
      </rPr>
      <t xml:space="preserve"> A</t>
    </r>
    <r>
      <rPr>
        <sz val="11"/>
        <color theme="1"/>
        <rFont val="Calibri"/>
        <family val="2"/>
      </rPr>
      <t>ᵒ 13,5 R1350</t>
    </r>
  </si>
  <si>
    <r>
      <t>Columna de H</t>
    </r>
    <r>
      <rPr>
        <sz val="11"/>
        <color theme="1"/>
        <rFont val="Calibri"/>
        <family val="2"/>
      </rPr>
      <t>ᵒ</t>
    </r>
    <r>
      <rPr>
        <sz val="11"/>
        <color theme="1"/>
        <rFont val="Calibri"/>
        <family val="2"/>
        <scheme val="minor"/>
      </rPr>
      <t xml:space="preserve"> A</t>
    </r>
    <r>
      <rPr>
        <sz val="11"/>
        <color theme="1"/>
        <rFont val="Calibri"/>
        <family val="2"/>
      </rPr>
      <t>ᵒ 12,5 R750</t>
    </r>
  </si>
  <si>
    <r>
      <t>Columna de H</t>
    </r>
    <r>
      <rPr>
        <sz val="11"/>
        <color theme="1"/>
        <rFont val="Calibri"/>
        <family val="2"/>
      </rPr>
      <t>ᵒ</t>
    </r>
    <r>
      <rPr>
        <sz val="11"/>
        <color theme="1"/>
        <rFont val="Calibri"/>
        <family val="2"/>
        <scheme val="minor"/>
      </rPr>
      <t xml:space="preserve"> A</t>
    </r>
    <r>
      <rPr>
        <sz val="11"/>
        <color theme="1"/>
        <rFont val="Calibri"/>
        <family val="2"/>
      </rPr>
      <t>ᵒ 13,5 R1200</t>
    </r>
  </si>
  <si>
    <r>
      <t>Columna de H</t>
    </r>
    <r>
      <rPr>
        <sz val="11"/>
        <color theme="1"/>
        <rFont val="Calibri"/>
        <family val="2"/>
      </rPr>
      <t>ᵒ</t>
    </r>
    <r>
      <rPr>
        <sz val="11"/>
        <color theme="1"/>
        <rFont val="Calibri"/>
        <family val="2"/>
        <scheme val="minor"/>
      </rPr>
      <t xml:space="preserve"> A</t>
    </r>
    <r>
      <rPr>
        <sz val="11"/>
        <color theme="1"/>
        <rFont val="Calibri"/>
        <family val="2"/>
      </rPr>
      <t>ᵒ 13,5 R1050</t>
    </r>
  </si>
  <si>
    <r>
      <t>Media Cruceta de H</t>
    </r>
    <r>
      <rPr>
        <sz val="11"/>
        <color theme="1"/>
        <rFont val="Calibri"/>
        <family val="2"/>
      </rPr>
      <t>ᵒ</t>
    </r>
    <r>
      <rPr>
        <sz val="11"/>
        <color theme="1"/>
        <rFont val="Calibri"/>
        <family val="2"/>
        <scheme val="minor"/>
      </rPr>
      <t xml:space="preserve"> A</t>
    </r>
    <r>
      <rPr>
        <sz val="11"/>
        <color theme="1"/>
        <rFont val="Calibri"/>
        <family val="2"/>
      </rPr>
      <t>ᵒ</t>
    </r>
    <r>
      <rPr>
        <sz val="11"/>
        <color theme="1"/>
        <rFont val="Calibri"/>
        <family val="2"/>
        <scheme val="minor"/>
      </rPr>
      <t xml:space="preserve"> Retención con Gancho de 0,575m</t>
    </r>
  </si>
  <si>
    <r>
      <t>Cruceta de H</t>
    </r>
    <r>
      <rPr>
        <sz val="11"/>
        <color theme="1"/>
        <rFont val="Calibri"/>
        <family val="2"/>
      </rPr>
      <t>ᵒ</t>
    </r>
    <r>
      <rPr>
        <sz val="11"/>
        <color theme="1"/>
        <rFont val="Calibri"/>
        <family val="2"/>
        <scheme val="minor"/>
      </rPr>
      <t xml:space="preserve"> A</t>
    </r>
    <r>
      <rPr>
        <sz val="11"/>
        <color theme="1"/>
        <rFont val="Calibri"/>
        <family val="2"/>
      </rPr>
      <t>ᵒ</t>
    </r>
    <r>
      <rPr>
        <sz val="11"/>
        <color theme="1"/>
        <rFont val="Calibri"/>
        <family val="2"/>
        <scheme val="minor"/>
      </rPr>
      <t xml:space="preserve"> Retención con Gancho de 1,15m</t>
    </r>
  </si>
  <si>
    <t>Aislador organico alineación p/ 33kV</t>
  </si>
  <si>
    <t>Aislador organico retención p/ 33kV</t>
  </si>
  <si>
    <t>Morsa de Retensión para conductor Al/Ac de 95/15mm2</t>
  </si>
  <si>
    <t>Caño PVC de 1/2"</t>
  </si>
  <si>
    <t>Morseto bifilar de 1 bulon</t>
  </si>
  <si>
    <t>Terminal de compresión Cobre estañado</t>
  </si>
  <si>
    <t>Morsa de Retensión para conductor Ac de 35mm2</t>
  </si>
  <si>
    <t>Grillete MN 222</t>
  </si>
  <si>
    <t>Morseto bifilar de 2 bulon</t>
  </si>
  <si>
    <t>Abrazadera lisa MN 215D</t>
  </si>
  <si>
    <t>Bulon de 1/2" x 89</t>
  </si>
  <si>
    <t>Cable  de Ac de 25mm2, MN100</t>
  </si>
  <si>
    <t>Seccionador unipolar a cuchillas 33kV. 630A</t>
  </si>
  <si>
    <t>Caño galvanizado de 2 1/2"</t>
  </si>
  <si>
    <t>Caño PVC de 160mm</t>
  </si>
  <si>
    <t>Curva a 45ᵒ, PVC de 160mm</t>
  </si>
  <si>
    <t xml:space="preserve">Terminal Identar bimetálico de Al/Cu de  95 mm²           </t>
  </si>
  <si>
    <t>Soporte madera dura tratada</t>
  </si>
  <si>
    <t>Hierro Perfil PNU 10</t>
  </si>
  <si>
    <t>Collar de Hierro MN 251</t>
  </si>
  <si>
    <t>Brazo para cruceta vela MN 45</t>
  </si>
  <si>
    <t>Descargador p/ 30kV - 10kA con desligador</t>
  </si>
  <si>
    <t>Malla de advertencia Maintec</t>
  </si>
  <si>
    <t>Ladrillo Común</t>
  </si>
  <si>
    <t>Celda tipo de Linea, Modelo: CGM.3-L</t>
  </si>
  <si>
    <t>Celda tipo de Línea, Modelo: CGM.3-V</t>
  </si>
  <si>
    <t>Celda de Medición, Modelo: CGM.3-M</t>
  </si>
  <si>
    <t>Transformador de Corriente, Modelo: HBK 30</t>
  </si>
  <si>
    <t>Transformador de Tensión Inductivo, Modelo: WSK 33</t>
  </si>
  <si>
    <t>m3</t>
  </si>
  <si>
    <t>Item</t>
  </si>
  <si>
    <t>Cjto.</t>
  </si>
  <si>
    <t>Excavaciones</t>
  </si>
  <si>
    <t>P</t>
  </si>
  <si>
    <t>D</t>
  </si>
  <si>
    <r>
      <t>Media Cruceta de H</t>
    </r>
    <r>
      <rPr>
        <sz val="11"/>
        <color theme="1"/>
        <rFont val="Calibri"/>
        <family val="2"/>
      </rPr>
      <t>ᵒ</t>
    </r>
    <r>
      <rPr>
        <sz val="11"/>
        <color theme="1"/>
        <rFont val="Calibri"/>
        <family val="2"/>
        <scheme val="minor"/>
      </rPr>
      <t xml:space="preserve"> A</t>
    </r>
    <r>
      <rPr>
        <sz val="11"/>
        <color theme="1"/>
        <rFont val="Calibri"/>
        <family val="2"/>
      </rPr>
      <t>ᵒ</t>
    </r>
    <r>
      <rPr>
        <sz val="11"/>
        <color theme="1"/>
        <rFont val="Calibri"/>
        <family val="2"/>
        <scheme val="minor"/>
      </rPr>
      <t xml:space="preserve"> Retención Angular con Gancho de 0,70m</t>
    </r>
  </si>
  <si>
    <r>
      <t>Columna de H</t>
    </r>
    <r>
      <rPr>
        <sz val="11"/>
        <color theme="1"/>
        <rFont val="Calibri"/>
        <family val="2"/>
      </rPr>
      <t>ᵒ</t>
    </r>
    <r>
      <rPr>
        <sz val="11"/>
        <color theme="1"/>
        <rFont val="Calibri"/>
        <family val="2"/>
        <scheme val="minor"/>
      </rPr>
      <t xml:space="preserve"> A</t>
    </r>
    <r>
      <rPr>
        <sz val="11"/>
        <color theme="1"/>
        <rFont val="Calibri"/>
        <family val="2"/>
      </rPr>
      <t>ᵒ 13 R1200</t>
    </r>
  </si>
  <si>
    <t>Hormigón 1:3:3 p/bases</t>
  </si>
  <si>
    <t>PRECIO UNITARIO [u$s]</t>
  </si>
  <si>
    <t>PRECIO TOTAL [u$s]</t>
  </si>
  <si>
    <t>p.u.</t>
  </si>
  <si>
    <t>Aislador Soporte Line Post p/ 33kV con base soporte y perno</t>
  </si>
  <si>
    <t>Jabalina Ac-Cu 5/8 x 3,5m</t>
  </si>
  <si>
    <t>Morsa de Suspensión para conductor Ac de 35mm2</t>
  </si>
  <si>
    <t>Bulon de 1/2", MN 49</t>
  </si>
  <si>
    <t>Bloquete de Bronce para PAT 1/2"</t>
  </si>
  <si>
    <t>Grapa de Bronce MC3</t>
  </si>
  <si>
    <t>Chapa MN 187</t>
  </si>
  <si>
    <t>Conductor de Ac-Cu de 50mm2</t>
  </si>
  <si>
    <t>Elemento Preformado Arma Roots</t>
  </si>
  <si>
    <t>Reconectador trifásico Tensión Nominal 33kV con equipo de comando y lectura</t>
  </si>
  <si>
    <t>MATERIALES</t>
  </si>
  <si>
    <t>MONTAJE Y MANO DE OBRA</t>
  </si>
  <si>
    <t>COSTO DE PROYECTO Y PLANIFICACIÓN [5%]</t>
  </si>
  <si>
    <t>OTROS COSTOS NO CONSIDERADOS [4%]</t>
  </si>
  <si>
    <t>INFLACIÓN [5%]</t>
  </si>
  <si>
    <t>SUB TOTAL</t>
  </si>
  <si>
    <t>TOTAL [U$S]</t>
  </si>
  <si>
    <t>Conductor desnudo de Cu 95mm2</t>
  </si>
  <si>
    <t>TOTAL [u$s]</t>
  </si>
  <si>
    <t>VINCULACIÓN INFERIOR EN ALTA TENSIÓN</t>
  </si>
  <si>
    <t>POR CONSUMO DE ENERGÍA:</t>
  </si>
  <si>
    <t>CARGO[$/KW-MES] x POTENCIA ESTIMADA[KW] x 12[MESES] x FAT</t>
  </si>
  <si>
    <t>CARGO[$/MES] x 12[MESES] x FAT</t>
  </si>
  <si>
    <t>Año</t>
  </si>
  <si>
    <t>POR POTENCIA</t>
  </si>
  <si>
    <t>POR CONSUMO DE ENERGÍA</t>
  </si>
  <si>
    <t>TALLERES IV</t>
  </si>
  <si>
    <t>TALLERES II</t>
  </si>
  <si>
    <t>EMPAQUE ARANDANOS I (BERRYCON)</t>
  </si>
  <si>
    <t>EMPAQUE ARANDANOS II (MICHEL)</t>
  </si>
  <si>
    <t>ASERRADERO I (FINONDO)</t>
  </si>
  <si>
    <t>ASERRADERO II (PEREYRA)</t>
  </si>
  <si>
    <t>EMPAQUE DE CITRUS I (ARGENCIT)</t>
  </si>
  <si>
    <t>EMPAQUE DE CITRUS II (SALERNO)</t>
  </si>
  <si>
    <t>EMPAQUE DE CITRUS III (COCICO)</t>
  </si>
  <si>
    <t>FABRICA DE JUGOS I (BAGGIO)</t>
  </si>
  <si>
    <t>FABRICA DE JUGOS II (LITORAL CITRUS)</t>
  </si>
  <si>
    <t>FRIGORIFICOS I (CAMINO)</t>
  </si>
  <si>
    <t>FRIGORIFICOS II (CDIACARN)</t>
  </si>
  <si>
    <t>ESCUELA TECNICA</t>
  </si>
  <si>
    <t>CITRICOLA MATTESGU</t>
  </si>
  <si>
    <t>ASERRADERO LLANES</t>
  </si>
  <si>
    <t>MOLINO DOS HERMANOS</t>
  </si>
  <si>
    <t>SUPERMERCADO MODELO CENTRAL</t>
  </si>
  <si>
    <t xml:space="preserve">Registro </t>
  </si>
  <si>
    <t>Estimación de Potencia</t>
  </si>
  <si>
    <t>Estimación de Energía</t>
  </si>
  <si>
    <t>Registro</t>
  </si>
  <si>
    <t>FECHA</t>
  </si>
  <si>
    <t>KW</t>
  </si>
  <si>
    <t>kVAr</t>
  </si>
  <si>
    <t>Franja Horaria</t>
  </si>
  <si>
    <t>Pot Máxima (kW)</t>
  </si>
  <si>
    <t>Energía Total (kWh)</t>
  </si>
  <si>
    <t>Energía Registrada</t>
  </si>
  <si>
    <t>Factor de Utilización</t>
  </si>
  <si>
    <t>HORA</t>
  </si>
  <si>
    <t>Energía Registrada (kWh)</t>
  </si>
  <si>
    <t>Kw</t>
  </si>
  <si>
    <t>kW</t>
  </si>
  <si>
    <t>"29/11/10"</t>
  </si>
  <si>
    <t>Fuera de Punta</t>
  </si>
  <si>
    <t>Valle Nocturno</t>
  </si>
  <si>
    <t>"15/11/10"</t>
  </si>
  <si>
    <t>"24:00"</t>
  </si>
  <si>
    <t>"21/12/10"</t>
  </si>
  <si>
    <t>"07/12/10"</t>
  </si>
  <si>
    <t>"25/11/10"</t>
  </si>
  <si>
    <t>"27/09/10"</t>
  </si>
  <si>
    <t>"12/12/10"</t>
  </si>
  <si>
    <t>"14/02/11"</t>
  </si>
  <si>
    <t>"06/10/10"</t>
  </si>
  <si>
    <t>"09/02/11"</t>
  </si>
  <si>
    <t>"28/10/10"</t>
  </si>
  <si>
    <t>"18/11/10"</t>
  </si>
  <si>
    <t>"24/10/10"</t>
  </si>
  <si>
    <t>"09/12/10"</t>
  </si>
  <si>
    <t>"13/09/10"</t>
  </si>
  <si>
    <t>"23/11/10"</t>
  </si>
  <si>
    <t>"30/11/10"</t>
  </si>
  <si>
    <t>"16/11/10"</t>
  </si>
  <si>
    <t>"01:00"</t>
  </si>
  <si>
    <t>"22/12/10"</t>
  </si>
  <si>
    <t>"08/12/10"</t>
  </si>
  <si>
    <t>"26/11/10"</t>
  </si>
  <si>
    <t>"28/09/10"</t>
  </si>
  <si>
    <t>"13/12/10"</t>
  </si>
  <si>
    <t>"15/02/11"</t>
  </si>
  <si>
    <t>"07/10/10"</t>
  </si>
  <si>
    <t>"10/02/11"</t>
  </si>
  <si>
    <t>"29/10/10"</t>
  </si>
  <si>
    <t>"19/11/10"</t>
  </si>
  <si>
    <t>"25/10/10"</t>
  </si>
  <si>
    <t>"10/12/10"</t>
  </si>
  <si>
    <t>"14/09/10"</t>
  </si>
  <si>
    <t>"24/11/10"</t>
  </si>
  <si>
    <t>"02:00"</t>
  </si>
  <si>
    <t>"03:00"</t>
  </si>
  <si>
    <t>"04:00"</t>
  </si>
  <si>
    <t>Restantes</t>
  </si>
  <si>
    <t>"05:00"</t>
  </si>
  <si>
    <t>"06:00"</t>
  </si>
  <si>
    <t>"07:00"</t>
  </si>
  <si>
    <t>"08:00"</t>
  </si>
  <si>
    <t>"09:00"</t>
  </si>
  <si>
    <t>"10:00"</t>
  </si>
  <si>
    <t>"11:00"</t>
  </si>
  <si>
    <t>"12:00"</t>
  </si>
  <si>
    <t>"13:00"</t>
  </si>
  <si>
    <t>"14:00"</t>
  </si>
  <si>
    <t>"15:00"</t>
  </si>
  <si>
    <t>"16:00"</t>
  </si>
  <si>
    <t>"17:00"</t>
  </si>
  <si>
    <t>En Punta</t>
  </si>
  <si>
    <t>"18:00"</t>
  </si>
  <si>
    <t>"19:00"</t>
  </si>
  <si>
    <t>"20:00"</t>
  </si>
  <si>
    <t>"21:00"</t>
  </si>
  <si>
    <t>"22:00"</t>
  </si>
  <si>
    <t>"23:00"</t>
  </si>
  <si>
    <t>Franja Horaria - Estimación de Potencia:</t>
  </si>
  <si>
    <t>Horas Fuera de Punta: 23 a 18hs</t>
  </si>
  <si>
    <t>Horas Punta: 18 a 23hs</t>
  </si>
  <si>
    <t>Franja Horaria - Estimación de Energía:</t>
  </si>
  <si>
    <t>Horas Restantes: 5 a 18hs</t>
  </si>
  <si>
    <t>Horas Valle Nocturna: 23 a 5hs</t>
  </si>
  <si>
    <t>Industria</t>
  </si>
  <si>
    <t>Potencia Convenida</t>
  </si>
  <si>
    <t xml:space="preserve">Energía </t>
  </si>
  <si>
    <t>Punta</t>
  </si>
  <si>
    <t>Restante</t>
  </si>
  <si>
    <t>Empaque Citrus I</t>
  </si>
  <si>
    <t>Empaque Citrus II</t>
  </si>
  <si>
    <t>Empaque Arandano I</t>
  </si>
  <si>
    <t>Aserradero I</t>
  </si>
  <si>
    <t>Aserradero II</t>
  </si>
  <si>
    <t>Molino Arrosero I</t>
  </si>
  <si>
    <t>Fábrica de Jugo I</t>
  </si>
  <si>
    <t>Fábrica de Jugo II</t>
  </si>
  <si>
    <t>Frigorifico I</t>
  </si>
  <si>
    <t>Frigorifico II</t>
  </si>
  <si>
    <t>Talleres</t>
  </si>
  <si>
    <t>SUBTOTAL</t>
  </si>
  <si>
    <t>SERVICIOS (5%)</t>
  </si>
  <si>
    <t>OTROS (5%)</t>
  </si>
  <si>
    <t>TOTAL</t>
  </si>
  <si>
    <t>Se toman datos de potencia horaria de industrias tipo, proporcionado por la coop. Electrica de concordia. En cada franja horaria se estima el consumo de energía, luego se hace la sumatoria de energia en cada franja para asi obtener una aproximación de todo el complejo industrial.</t>
  </si>
  <si>
    <t>Factor de utilización diario: debido a que la demanda puede presentar variaciones de carga respecto a los valores maximos estipulados.</t>
  </si>
  <si>
    <t>FRANCHINI</t>
  </si>
  <si>
    <t>Año a año el costo de potencia y energia tmb se ven incrementados…de que manera se estima tal situación...</t>
  </si>
  <si>
    <t>Consultar registros de tarifas de años anteriores y estimar la tendencia hacia años futuros</t>
  </si>
  <si>
    <t>Valle Noct.</t>
  </si>
  <si>
    <t xml:space="preserve"> </t>
  </si>
  <si>
    <t>Cargo Fijo [$]</t>
  </si>
  <si>
    <t>Perìodo Horas Valle Nocturno [$]</t>
  </si>
  <si>
    <t>Adecuaión de la Tarifa</t>
  </si>
  <si>
    <t>Relación entre la potencia media y la potencia máxima demandada:</t>
  </si>
  <si>
    <t>Estimada</t>
  </si>
  <si>
    <t>ENERGIA ESTIMADA HORAS RESTANTES [KW-HS] x CARGO[$/KW-HS] x FAT</t>
  </si>
  <si>
    <t>ENERGIA ESTIMADA HORAS VALLE NOCTURNO [KW-HS] x CARGO[$/KW-HS] x FAT</t>
  </si>
  <si>
    <t>ENERGIA ESTIMADA HORAS DE PUNTA [KW-HS] x CARGO[$/KW-HS] x FAT</t>
  </si>
  <si>
    <t>TOTAL INGRESOS</t>
  </si>
  <si>
    <t>Proyecto: Línea 33 kV Alimentación Nuevo Parque Industrial Monte Caseros</t>
  </si>
  <si>
    <t>Datos del Proyecto:</t>
  </si>
  <si>
    <t>Presupuesto Obra:</t>
  </si>
  <si>
    <t>Entrada en Servicio:</t>
  </si>
  <si>
    <t>Dólar:</t>
  </si>
  <si>
    <t>$/u$s</t>
  </si>
  <si>
    <t>Alternativa 1: Inversión con Fondos Propios</t>
  </si>
  <si>
    <t>Ingreso</t>
  </si>
  <si>
    <t>SubTotal Ingreso</t>
  </si>
  <si>
    <t>Egreso</t>
  </si>
  <si>
    <t>Subtotal Egreso</t>
  </si>
  <si>
    <t>Base Tributaria</t>
  </si>
  <si>
    <t>Impuesto a las Ganancias</t>
  </si>
  <si>
    <t>Aporte no reintegrable (Subsidio)</t>
  </si>
  <si>
    <t>Flujo Neto</t>
  </si>
  <si>
    <t>Inversión Inicial</t>
  </si>
  <si>
    <t>Potencia y Energía</t>
  </si>
  <si>
    <t>u$s</t>
  </si>
  <si>
    <t>Vida Útil:</t>
  </si>
  <si>
    <t>VAN:</t>
  </si>
  <si>
    <t>TIR:</t>
  </si>
  <si>
    <t>Período de repago:</t>
  </si>
  <si>
    <t>Monto:</t>
  </si>
  <si>
    <t>Presupuesto de Obra:</t>
  </si>
  <si>
    <t>Préstamo Bancario:</t>
  </si>
  <si>
    <t>Porcentaje del Préstamo:</t>
  </si>
  <si>
    <t>Monto del Préstamo:</t>
  </si>
  <si>
    <t>Período de Gracia</t>
  </si>
  <si>
    <t>Cuotas:</t>
  </si>
  <si>
    <t>Años</t>
  </si>
  <si>
    <t>Frecuencia de Amortización [días]:</t>
  </si>
  <si>
    <t>Sistema de Amortización:</t>
  </si>
  <si>
    <t>Aleman</t>
  </si>
  <si>
    <t>Deuda con el Banco</t>
  </si>
  <si>
    <t>Amortización del Capital</t>
  </si>
  <si>
    <t>Total Primer Semestre</t>
  </si>
  <si>
    <t>Deuda Parcial Primer Semestre</t>
  </si>
  <si>
    <t>Deuda Parcial Segundo Semestre</t>
  </si>
  <si>
    <t>Total Segundo Semestre</t>
  </si>
  <si>
    <t xml:space="preserve">Conexión </t>
  </si>
  <si>
    <t>MES/LECTURA</t>
  </si>
  <si>
    <t>Energia Registrada kWh</t>
  </si>
  <si>
    <t>PUNTA</t>
  </si>
  <si>
    <t>RESTO</t>
  </si>
  <si>
    <t>VALLE</t>
  </si>
  <si>
    <t>DOS HERMANOS</t>
  </si>
  <si>
    <t>TECNICA 1</t>
  </si>
  <si>
    <t>CONCORDIA CARNES</t>
  </si>
  <si>
    <t>CAMINO</t>
  </si>
  <si>
    <t>LITORAL CITRUS</t>
  </si>
  <si>
    <t>BAGGIO</t>
  </si>
  <si>
    <t>SALERNO</t>
  </si>
  <si>
    <t>MATTES</t>
  </si>
  <si>
    <t>COCICO</t>
  </si>
  <si>
    <t>ARGENCITRUS</t>
  </si>
  <si>
    <t>PEREYRA</t>
  </si>
  <si>
    <t>FINONDO</t>
  </si>
  <si>
    <t>MICHEL</t>
  </si>
  <si>
    <t>BERRYCON</t>
  </si>
  <si>
    <t>ARGENCIT</t>
  </si>
  <si>
    <t>DOS HERM</t>
  </si>
  <si>
    <t>LIT CITR</t>
  </si>
  <si>
    <t>SE APROXIMA A LOS VALORES DE ENERGIA ANUAL ESTIMADOS.</t>
  </si>
  <si>
    <t>Factor de Utilización:</t>
  </si>
  <si>
    <t>DESDE EL AÑO 2013 LAS TARIFAS DE GRAN DEMANDA ESTAN CONGELADAS. (COOP ELECTRICA)</t>
  </si>
  <si>
    <t>CARGO FIJO POR POTENCIA TRANSPORTADA [$/KW-MES]:</t>
  </si>
  <si>
    <t>CARGO FIJO [$/MES]:</t>
  </si>
  <si>
    <t>PERIODOS HS VALLE NOCTURNO [$/KW-HS]:</t>
  </si>
  <si>
    <t>Tarea/Actividad</t>
  </si>
  <si>
    <t>Total Item $</t>
  </si>
  <si>
    <t>H</t>
  </si>
  <si>
    <t>Topografía</t>
  </si>
  <si>
    <t>A</t>
  </si>
  <si>
    <t>I</t>
  </si>
  <si>
    <t>Limpieza, Desmonte</t>
  </si>
  <si>
    <t>C</t>
  </si>
  <si>
    <t>J</t>
  </si>
  <si>
    <t xml:space="preserve">Provisión de Materiales </t>
  </si>
  <si>
    <t>K</t>
  </si>
  <si>
    <t>B</t>
  </si>
  <si>
    <t>L</t>
  </si>
  <si>
    <t>Armado de Estructuras</t>
  </si>
  <si>
    <t>E</t>
  </si>
  <si>
    <t>M</t>
  </si>
  <si>
    <t>Llenado de Bases</t>
  </si>
  <si>
    <t>N</t>
  </si>
  <si>
    <t>Izado de Estructuras</t>
  </si>
  <si>
    <t>F</t>
  </si>
  <si>
    <t>O</t>
  </si>
  <si>
    <t>Tendido y montaje de conductores e hilo de guardia</t>
  </si>
  <si>
    <t>G</t>
  </si>
  <si>
    <t>Colocación de Puesta a Tierra</t>
  </si>
  <si>
    <t>Q</t>
  </si>
  <si>
    <t>Colocación de Equipos de Maniobra y Medición</t>
  </si>
  <si>
    <t>R</t>
  </si>
  <si>
    <t>Montaje Reconectador</t>
  </si>
  <si>
    <t>S1</t>
  </si>
  <si>
    <t>Tendido y montaje conductor subterráneo - Tramo 1</t>
  </si>
  <si>
    <t>S2</t>
  </si>
  <si>
    <t>Tendido y montaje conductor subterráneo - Tramo 2</t>
  </si>
  <si>
    <t>T</t>
  </si>
  <si>
    <t>Montaje celdas de protección, medición y control</t>
  </si>
  <si>
    <t>U</t>
  </si>
  <si>
    <t>Ensayos de Verificaciones finales para la puesta en Servicio</t>
  </si>
  <si>
    <t>TOTAL M.O. [$]</t>
  </si>
  <si>
    <t>TOTAL M.O, [u$s]</t>
  </si>
  <si>
    <t>COSTO OPERARIO</t>
  </si>
  <si>
    <t>Oficial esp.</t>
  </si>
  <si>
    <t>$/dia =</t>
  </si>
  <si>
    <t>$/dia oper.</t>
  </si>
  <si>
    <t>Oficial</t>
  </si>
  <si>
    <t>1/2oficial</t>
  </si>
  <si>
    <t>Ayudantes</t>
  </si>
  <si>
    <t>Costo ponderado</t>
  </si>
  <si>
    <t>Inc. Asist.Perfecta</t>
  </si>
  <si>
    <t>Inc. Ley 4035</t>
  </si>
  <si>
    <t>Inc. Cargas Sociales</t>
  </si>
  <si>
    <t>A.R.T.</t>
  </si>
  <si>
    <t>Viaticos</t>
  </si>
  <si>
    <t>Vigilancia</t>
  </si>
  <si>
    <t>Sub Total</t>
  </si>
  <si>
    <t>ADOPTADO</t>
  </si>
  <si>
    <t>$/h</t>
  </si>
  <si>
    <t>Grupo/Cuadrilla</t>
  </si>
  <si>
    <t>Designación</t>
  </si>
  <si>
    <t>Detalle</t>
  </si>
  <si>
    <t>Costo [$/hs]</t>
  </si>
  <si>
    <t>Costo Recurso [$/hs]</t>
  </si>
  <si>
    <t>Relevamiento y Replanteo</t>
  </si>
  <si>
    <t>1 Topografo</t>
  </si>
  <si>
    <t>2 Ayudantes</t>
  </si>
  <si>
    <t>Excavación</t>
  </si>
  <si>
    <t>1 Retroexcavadora</t>
  </si>
  <si>
    <t>2 Ayudante</t>
  </si>
  <si>
    <t>Cuadrilla</t>
  </si>
  <si>
    <t>1 Oficial</t>
  </si>
  <si>
    <t>1 Medio Oficial</t>
  </si>
  <si>
    <t>Camión</t>
  </si>
  <si>
    <t xml:space="preserve">1 Camion </t>
  </si>
  <si>
    <t>Grúa de 5tn</t>
  </si>
  <si>
    <t>1 Hidrogrua 5Tn</t>
  </si>
  <si>
    <t>1 Ayudante</t>
  </si>
  <si>
    <t>Grúa de 10tn</t>
  </si>
  <si>
    <t>1 Hidrogrua 10Tn</t>
  </si>
  <si>
    <t>Tendido</t>
  </si>
  <si>
    <t>1 Frenadora</t>
  </si>
  <si>
    <t>1 Tractor</t>
  </si>
  <si>
    <t>Compactación</t>
  </si>
  <si>
    <t>1 Pison Compactador</t>
  </si>
  <si>
    <t>Ensayo y Conexionado</t>
  </si>
  <si>
    <t>2 Oficiales Electricistas</t>
  </si>
  <si>
    <t>1 Ingeniero</t>
  </si>
  <si>
    <t>Cuadrilla de Tenido</t>
  </si>
  <si>
    <t>2 Oficiales</t>
  </si>
  <si>
    <t>4 Medio Oficial</t>
  </si>
  <si>
    <t xml:space="preserve">Prestamo Bancario: Otorgado por Banco BICE. </t>
  </si>
  <si>
    <t>Monto a Financiar: Hasta el 80% del monto total del proyecto.</t>
  </si>
  <si>
    <t>Designación: Financiación de Inversión para PyMES y Cooperativas.</t>
  </si>
  <si>
    <t>Plazo Máximo del  Crédito: Hasta 10 Años</t>
  </si>
  <si>
    <t>Período de Gracia: Hasta 2 Años</t>
  </si>
  <si>
    <t>Sistema de Amortización: Frances o Alemán</t>
  </si>
  <si>
    <t>Frecuencia de Amortización: En cuotas de periodicidad constante, como máximo semestrales.</t>
  </si>
  <si>
    <t>1) Ventas totales anuales hasta $200 millones: 70% tasa fija (es decir, 8,40%) y 30% tasa variable.</t>
  </si>
  <si>
    <t>2) Ventas totales anuales mayor a $200 y menor o igual a $300 millones: 50% tasa fija (es decir, 6,00%) y 50% tasa variable.</t>
  </si>
  <si>
    <t>3) Ventas totales anuales mayor a $300 y menor o igual a $400: 30% tasa fija (es decir, 3,60%) y 70% tasa variable.</t>
  </si>
  <si>
    <t>Tasa de Interes: Será combinada determinada en función de las ventas anuales. El componente fijo de la tasa será de 12,00% (TNA). El componente variable será determinado sobre la base de la tasa “Badlar Bancos Privados” –más un margen de 150 puntos básicos.</t>
  </si>
  <si>
    <t>Tasa Fija:</t>
  </si>
  <si>
    <t>Tasa Variable:</t>
  </si>
  <si>
    <t>Costo Financiero</t>
  </si>
  <si>
    <t>Total a Pagar</t>
  </si>
  <si>
    <t>Deuda Anual</t>
  </si>
  <si>
    <t>Semestre 1</t>
  </si>
  <si>
    <t>Semestre 2</t>
  </si>
  <si>
    <t>Cotización Dólar:</t>
  </si>
  <si>
    <t>$</t>
  </si>
  <si>
    <t>PRESTAMO BANCARIO</t>
  </si>
  <si>
    <t>Préstamo bancario</t>
  </si>
  <si>
    <t>Capital propio:</t>
  </si>
  <si>
    <t>Duración:</t>
  </si>
  <si>
    <t>10 años</t>
  </si>
  <si>
    <t>Tasa:</t>
  </si>
  <si>
    <t>Años de gracia:</t>
  </si>
  <si>
    <t>Préstamo</t>
  </si>
  <si>
    <t>Amortización de capital</t>
  </si>
  <si>
    <t>Subtotal con financiación bancaria</t>
  </si>
  <si>
    <t>Flujo antes de ganancias</t>
  </si>
  <si>
    <t>Base tributaria</t>
  </si>
  <si>
    <t>Impuesto a las ganancias</t>
  </si>
  <si>
    <t>Aporte no reintegrable (subsidios)</t>
  </si>
  <si>
    <t>Flujo neto</t>
  </si>
  <si>
    <t>Incremento Anual O y M:</t>
  </si>
  <si>
    <t>Reducción anual de los ingresos:</t>
  </si>
  <si>
    <t>Adecuación de la Tarifa</t>
  </si>
  <si>
    <t>Análisis financiero propio</t>
  </si>
  <si>
    <t>Valor actual de flujo neto futuro</t>
  </si>
  <si>
    <t>Alternativa 2: Financiación bancaria</t>
  </si>
  <si>
    <t>Intereses</t>
  </si>
  <si>
    <t>Incremento anual de los ingresos:</t>
  </si>
  <si>
    <t>ESCENARIO</t>
  </si>
  <si>
    <t>Pesimista</t>
  </si>
  <si>
    <t>Real</t>
  </si>
  <si>
    <t>Optimista</t>
  </si>
  <si>
    <t>TIR</t>
  </si>
  <si>
    <t>REPAGO</t>
  </si>
  <si>
    <t>INDICADORES DE RENTABILIDAD</t>
  </si>
  <si>
    <t>VAN (16%)</t>
  </si>
  <si>
    <t>Terminal aislado THSE-3625 de 3x1x120mm2, 33kV</t>
  </si>
  <si>
    <t>Cable de Cobre unipolar tipo subterraneo de 120/24mm2</t>
  </si>
  <si>
    <t>Escenario Pesimista (2% Anual)</t>
  </si>
  <si>
    <t>Escenario Optimista (6% Anual)</t>
  </si>
  <si>
    <t>Escenario Intermedio (4% Anual)</t>
  </si>
  <si>
    <t>Incremento Anual A y F:</t>
  </si>
  <si>
    <t>30 años</t>
  </si>
  <si>
    <t>Crecimiento anual de la demanda:</t>
  </si>
  <si>
    <t>INGRESOS - ESCENARIO PESIMISTA (2% ANUAL)</t>
  </si>
  <si>
    <t>INGRESOS - ESCENARIO OPTIMISTA (6% ANUAL)</t>
  </si>
  <si>
    <t>(FAT = FACTOR DE ACTUALIZACIÓN ANUAL DE LA TARIFA): YA ESTA PLASMADO EN EL ESCENARIO</t>
  </si>
  <si>
    <t>ESTIMACIÓN DEMANDA DE ENERGÍA [MW-h]</t>
  </si>
  <si>
    <t>ESTIMACIÓN DE POTENCIA MÁXIMA [MW]</t>
  </si>
  <si>
    <t xml:space="preserve"> ESTIMACIÓN DE ENERGÍA [kWh]</t>
  </si>
  <si>
    <t>CUADRO TARIFARIO 2013-2014 (Res. 153/13 - EPRE) - OTROS DIST. PROV.</t>
  </si>
  <si>
    <t>SUBTOTAL EGRESOS</t>
  </si>
  <si>
    <t>Compra de Potencia y Energía</t>
  </si>
  <si>
    <t>ESTIMACIÓN DEMANDA DE POTENCIA [MW]</t>
  </si>
  <si>
    <t>Cotización Dolar por Banco Central de la Republica Argentina: $9,54</t>
  </si>
  <si>
    <t>Costo M.O.: Ref. Acuerdo Salarial UOCRA - Vigencia a partir del 1ro. de Agosto 2015</t>
  </si>
  <si>
    <t>Acuerdo salarial UOCRA  Agosto 2015</t>
  </si>
  <si>
    <t>Rec</t>
  </si>
  <si>
    <t>Cant (%)</t>
  </si>
  <si>
    <t>hs</t>
  </si>
  <si>
    <t>$/hs</t>
  </si>
  <si>
    <t>CARGO FIJO POR POT. REGISTRADA EN HS PICO [$/KW-MES]:</t>
  </si>
  <si>
    <t>CARGO FIJO POR POT. REGISTRADA EN HS FUERA DE PICO [$/KW-MES]:</t>
  </si>
  <si>
    <t>PERIODOS HS DE PICO [$/KW-HS]:</t>
  </si>
  <si>
    <t>PERIODOS HS RESTO [$/KW-HS]:</t>
  </si>
  <si>
    <t>Cargo Fijo Pot. Registrada Hs. Fuera de Pico [$]</t>
  </si>
  <si>
    <t>Cargo Fijo Pot. Registrada Hs. Pico [$]</t>
  </si>
  <si>
    <t>Período Horas Resto [$]</t>
  </si>
  <si>
    <t>Período Horas de Pico [$]</t>
  </si>
  <si>
    <t>Escenario Pesimista</t>
  </si>
  <si>
    <t>Escenario Optimista</t>
  </si>
  <si>
    <t>Costo de Op. y Mant.</t>
  </si>
  <si>
    <t>Costo de Adm. y Fact.</t>
  </si>
  <si>
    <t>Compra Potencia y Energía</t>
  </si>
  <si>
    <t>Flujo antes del Impuesto a las Gan.</t>
  </si>
  <si>
    <t>INGRESOS - ESCENARIO REAL (4% ANUAL)</t>
  </si>
  <si>
    <t>15 años y 226 días</t>
  </si>
  <si>
    <t>8 años y 333 días</t>
  </si>
  <si>
    <t>12 años y 124 días</t>
  </si>
  <si>
    <t>Flujo Acumulado</t>
  </si>
  <si>
    <t xml:space="preserve"> Flujo Acumulado</t>
  </si>
  <si>
    <t>Flujo antes del Impuesto a las Gananc.</t>
  </si>
  <si>
    <t>Escenario Real</t>
  </si>
  <si>
    <t>Escenario Pesimista (continuación)</t>
  </si>
  <si>
    <t>Escenario Optimista (continuación)</t>
  </si>
  <si>
    <t>Escenario Real (continuación)</t>
  </si>
  <si>
    <t>Cálculo Costo Mano de Obra</t>
  </si>
  <si>
    <t>2 Medio Oficiales Electric.</t>
  </si>
  <si>
    <t>ESC TECN.</t>
  </si>
  <si>
    <t>CDIA CARNES</t>
  </si>
  <si>
    <t>Datos proporcionado por coop. Electrica de Concordia (FRANCHINI)</t>
  </si>
  <si>
    <t>Factor de Utilización Anual: debido a que la demanda (de acuerdo al tipo de actividad) presentan variaciones de carga para distintos meses del año. SE SUPONE UN FACTOR DE UTILIZACIÓN ANUAL DE 0,75.</t>
  </si>
  <si>
    <t>CUADRO TARIFARIO VIGENTE DPEC</t>
  </si>
  <si>
    <t>GRANDES USUARIOS - SUMINISTRO EN MEDIA TENSIÓN</t>
  </si>
  <si>
    <t>Cotización Dolar por Banco Central de la Republica Argentina: $9,54, 1 de Diciembre de 2015</t>
  </si>
</sst>
</file>

<file path=xl/styles.xml><?xml version="1.0" encoding="utf-8"?>
<styleSheet xmlns="http://schemas.openxmlformats.org/spreadsheetml/2006/main">
  <numFmts count="9">
    <numFmt numFmtId="164" formatCode="[$$-2C0A]\ #,##0.00"/>
    <numFmt numFmtId="165" formatCode="0.000"/>
    <numFmt numFmtId="166" formatCode="0.000%"/>
    <numFmt numFmtId="167" formatCode="dd/mm/yy;@"/>
    <numFmt numFmtId="168" formatCode="0.0"/>
    <numFmt numFmtId="169" formatCode="#,##0.00\ [$USD]"/>
    <numFmt numFmtId="170" formatCode="0.0%"/>
    <numFmt numFmtId="171" formatCode="[$-F400]h:mm:ss\ AM/PM"/>
    <numFmt numFmtId="172" formatCode="[$$-2C0A]\ #,##0"/>
  </numFmts>
  <fonts count="31">
    <font>
      <sz val="11"/>
      <color theme="1"/>
      <name val="Calibri"/>
      <family val="2"/>
      <scheme val="minor"/>
    </font>
    <font>
      <sz val="11"/>
      <color rgb="FFFF0000"/>
      <name val="Calibri"/>
      <family val="2"/>
      <scheme val="minor"/>
    </font>
    <font>
      <b/>
      <sz val="12"/>
      <color theme="1"/>
      <name val="Calibri"/>
      <family val="2"/>
      <scheme val="minor"/>
    </font>
    <font>
      <sz val="11"/>
      <color theme="1"/>
      <name val="Calibri"/>
      <family val="2"/>
    </font>
    <font>
      <sz val="11"/>
      <name val="Calibri"/>
      <family val="2"/>
      <scheme val="minor"/>
    </font>
    <font>
      <b/>
      <sz val="11"/>
      <color theme="1"/>
      <name val="Calibri"/>
      <family val="2"/>
      <scheme val="minor"/>
    </font>
    <font>
      <b/>
      <sz val="11"/>
      <name val="Calibri"/>
      <family val="2"/>
      <scheme val="minor"/>
    </font>
    <font>
      <b/>
      <i/>
      <sz val="11"/>
      <color theme="1"/>
      <name val="Calibri"/>
      <family val="2"/>
      <scheme val="minor"/>
    </font>
    <font>
      <b/>
      <sz val="11"/>
      <color rgb="FFFF0000"/>
      <name val="Calibri"/>
      <family val="2"/>
      <scheme val="minor"/>
    </font>
    <font>
      <sz val="12"/>
      <color theme="1"/>
      <name val="Calibri"/>
      <family val="2"/>
      <scheme val="minor"/>
    </font>
    <font>
      <sz val="11"/>
      <color theme="6"/>
      <name val="Calibri"/>
      <family val="2"/>
      <scheme val="minor"/>
    </font>
    <font>
      <sz val="12"/>
      <name val="Calibri"/>
      <family val="2"/>
      <scheme val="minor"/>
    </font>
    <font>
      <sz val="11"/>
      <color theme="1"/>
      <name val="Calibri"/>
      <family val="2"/>
      <scheme val="minor"/>
    </font>
    <font>
      <b/>
      <sz val="10"/>
      <color theme="1"/>
      <name val="Arial"/>
      <family val="2"/>
    </font>
    <font>
      <sz val="10"/>
      <color theme="1"/>
      <name val="Arial"/>
      <family val="2"/>
    </font>
    <font>
      <sz val="10"/>
      <name val="Arial"/>
      <family val="2"/>
    </font>
    <font>
      <sz val="9.5"/>
      <color rgb="FF000000"/>
      <name val="Arial,BoldItalic"/>
    </font>
    <font>
      <b/>
      <sz val="9.5"/>
      <color rgb="FF000000"/>
      <name val="Arial,BoldItalic"/>
    </font>
    <font>
      <sz val="10"/>
      <name val="Times New Roman"/>
      <family val="1"/>
      <charset val="204"/>
    </font>
    <font>
      <b/>
      <sz val="10"/>
      <name val="Comic Sans MS"/>
      <family val="4"/>
    </font>
    <font>
      <sz val="10"/>
      <name val="Times New Roman"/>
      <family val="1"/>
    </font>
    <font>
      <sz val="8.5"/>
      <color rgb="FF000000"/>
      <name val="Verdana"/>
      <family val="2"/>
    </font>
    <font>
      <sz val="8.5"/>
      <name val="Verdana"/>
      <family val="2"/>
    </font>
    <font>
      <b/>
      <sz val="8.5"/>
      <name val="Verdana"/>
      <family val="2"/>
    </font>
    <font>
      <b/>
      <sz val="11"/>
      <color theme="1"/>
      <name val="Arial"/>
      <family val="2"/>
    </font>
    <font>
      <b/>
      <sz val="18"/>
      <color theme="1"/>
      <name val="Calibri"/>
      <family val="2"/>
      <scheme val="minor"/>
    </font>
    <font>
      <b/>
      <sz val="12"/>
      <color theme="1"/>
      <name val="Arial"/>
      <family val="2"/>
    </font>
    <font>
      <b/>
      <sz val="10"/>
      <name val="Arial"/>
      <family val="2"/>
    </font>
    <font>
      <b/>
      <sz val="14"/>
      <color theme="1"/>
      <name val="Calibri"/>
      <family val="2"/>
      <scheme val="minor"/>
    </font>
    <font>
      <b/>
      <sz val="11"/>
      <name val="Arial"/>
      <family val="2"/>
    </font>
    <font>
      <b/>
      <i/>
      <sz val="11"/>
      <color rgb="FFFF0000"/>
      <name val="Calibri"/>
      <family val="2"/>
      <scheme val="minor"/>
    </font>
  </fonts>
  <fills count="22">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00FFFF"/>
        <bgColor indexed="64"/>
      </patternFill>
    </fill>
    <fill>
      <patternFill patternType="solid">
        <fgColor theme="9" tint="0.39997558519241921"/>
        <bgColor indexed="64"/>
      </patternFill>
    </fill>
    <fill>
      <patternFill patternType="solid">
        <fgColor rgb="FFFFFFCC"/>
        <bgColor indexed="64"/>
      </patternFill>
    </fill>
    <fill>
      <patternFill patternType="solid">
        <fgColor theme="6" tint="0.79998168889431442"/>
        <bgColor indexed="64"/>
      </patternFill>
    </fill>
    <fill>
      <patternFill patternType="solid">
        <fgColor indexed="42"/>
        <bgColor indexed="64"/>
      </patternFill>
    </fill>
    <fill>
      <patternFill patternType="solid">
        <fgColor rgb="FFCDDF21"/>
        <bgColor indexed="64"/>
      </patternFill>
    </fill>
    <fill>
      <patternFill patternType="solid">
        <fgColor theme="7"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3">
    <xf numFmtId="0" fontId="0" fillId="0" borderId="0"/>
    <xf numFmtId="9" fontId="12" fillId="0" borderId="0" applyFont="0" applyFill="0" applyBorder="0" applyAlignment="0" applyProtection="0"/>
    <xf numFmtId="0" fontId="18" fillId="0" borderId="0" applyNumberFormat="0" applyFill="0" applyBorder="0" applyProtection="0">
      <alignment vertical="top" wrapText="1"/>
    </xf>
  </cellStyleXfs>
  <cellXfs count="679">
    <xf numFmtId="0" fontId="0" fillId="0" borderId="0" xfId="0"/>
    <xf numFmtId="0" fontId="0" fillId="0" borderId="1" xfId="0" applyBorder="1"/>
    <xf numFmtId="0" fontId="0" fillId="3" borderId="1" xfId="0" applyFill="1" applyBorder="1"/>
    <xf numFmtId="0" fontId="4" fillId="3" borderId="1" xfId="0" applyFont="1" applyFill="1" applyBorder="1"/>
    <xf numFmtId="0" fontId="0" fillId="0" borderId="0" xfId="0" applyAlignment="1">
      <alignment horizontal="center"/>
    </xf>
    <xf numFmtId="0" fontId="7" fillId="0" borderId="0" xfId="0" applyFont="1"/>
    <xf numFmtId="0" fontId="0" fillId="0" borderId="0" xfId="0" applyAlignment="1"/>
    <xf numFmtId="0" fontId="0" fillId="4" borderId="0" xfId="0" applyFill="1"/>
    <xf numFmtId="0" fontId="0" fillId="0" borderId="1" xfId="0" applyFill="1" applyBorder="1" applyAlignment="1">
      <alignment horizontal="center"/>
    </xf>
    <xf numFmtId="0" fontId="0" fillId="0" borderId="0" xfId="0" applyBorder="1"/>
    <xf numFmtId="0" fontId="0" fillId="0" borderId="0" xfId="0" applyFill="1" applyBorder="1"/>
    <xf numFmtId="0" fontId="1" fillId="0" borderId="0" xfId="0" applyFont="1"/>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Fill="1"/>
    <xf numFmtId="0" fontId="10" fillId="0" borderId="0" xfId="0" applyFont="1" applyFill="1"/>
    <xf numFmtId="4" fontId="0" fillId="0" borderId="0" xfId="0" applyNumberFormat="1"/>
    <xf numFmtId="0" fontId="5" fillId="0" borderId="0" xfId="0" applyFont="1" applyAlignment="1">
      <alignment vertical="center"/>
    </xf>
    <xf numFmtId="4" fontId="0" fillId="0" borderId="0" xfId="0" applyNumberFormat="1" applyAlignment="1">
      <alignment vertical="center"/>
    </xf>
    <xf numFmtId="0" fontId="5" fillId="0" borderId="2" xfId="0" applyFont="1" applyBorder="1" applyAlignment="1">
      <alignment vertical="center"/>
    </xf>
    <xf numFmtId="4" fontId="0" fillId="0" borderId="3" xfId="0" applyNumberFormat="1" applyBorder="1" applyAlignment="1">
      <alignment vertical="center"/>
    </xf>
    <xf numFmtId="0" fontId="5" fillId="0" borderId="0" xfId="0" applyFont="1" applyBorder="1" applyAlignment="1">
      <alignment vertical="center"/>
    </xf>
    <xf numFmtId="4" fontId="0" fillId="0" borderId="0" xfId="0" applyNumberFormat="1" applyBorder="1" applyAlignment="1">
      <alignment vertical="center"/>
    </xf>
    <xf numFmtId="0" fontId="2" fillId="5" borderId="2" xfId="0" applyFont="1" applyFill="1" applyBorder="1" applyAlignment="1">
      <alignment vertical="center"/>
    </xf>
    <xf numFmtId="4" fontId="2" fillId="5" borderId="3" xfId="0" applyNumberFormat="1" applyFont="1" applyFill="1" applyBorder="1" applyAlignment="1">
      <alignment vertical="center"/>
    </xf>
    <xf numFmtId="0" fontId="5" fillId="0" borderId="4" xfId="0" applyFont="1" applyBorder="1" applyAlignment="1">
      <alignment vertical="center"/>
    </xf>
    <xf numFmtId="4" fontId="0" fillId="0" borderId="5" xfId="0" applyNumberFormat="1" applyBorder="1" applyAlignment="1">
      <alignment vertical="center"/>
    </xf>
    <xf numFmtId="0" fontId="5" fillId="0" borderId="6" xfId="0" applyFont="1" applyBorder="1" applyAlignment="1">
      <alignment vertical="center"/>
    </xf>
    <xf numFmtId="4" fontId="0" fillId="0" borderId="7" xfId="0" applyNumberFormat="1" applyBorder="1" applyAlignment="1">
      <alignment vertical="center"/>
    </xf>
    <xf numFmtId="0" fontId="0" fillId="3" borderId="1" xfId="0" applyFill="1" applyBorder="1" applyAlignment="1">
      <alignment horizontal="center"/>
    </xf>
    <xf numFmtId="2" fontId="0" fillId="3" borderId="1" xfId="0" applyNumberFormat="1" applyFill="1" applyBorder="1" applyAlignment="1">
      <alignment horizontal="center"/>
    </xf>
    <xf numFmtId="0" fontId="0" fillId="3" borderId="1" xfId="0" applyFill="1" applyBorder="1" applyAlignment="1">
      <alignment horizontal="center" vertical="center"/>
    </xf>
    <xf numFmtId="0" fontId="0" fillId="3" borderId="1" xfId="0" applyFill="1" applyBorder="1" applyAlignment="1">
      <alignment horizontal="left"/>
    </xf>
    <xf numFmtId="0" fontId="4" fillId="3" borderId="1" xfId="0" applyFont="1" applyFill="1" applyBorder="1" applyAlignment="1"/>
    <xf numFmtId="0" fontId="4" fillId="3" borderId="1" xfId="0" applyFont="1" applyFill="1" applyBorder="1" applyAlignment="1">
      <alignment vertical="center" wrapText="1"/>
    </xf>
    <xf numFmtId="4" fontId="5" fillId="6" borderId="1" xfId="0" applyNumberFormat="1" applyFont="1" applyFill="1" applyBorder="1" applyAlignment="1">
      <alignment horizontal="center"/>
    </xf>
    <xf numFmtId="4" fontId="0" fillId="0" borderId="1" xfId="0" applyNumberFormat="1" applyBorder="1"/>
    <xf numFmtId="4" fontId="0" fillId="0" borderId="0" xfId="0" applyNumberFormat="1" applyBorder="1"/>
    <xf numFmtId="0" fontId="0" fillId="0" borderId="1" xfId="0" applyBorder="1" applyAlignment="1">
      <alignment horizontal="center"/>
    </xf>
    <xf numFmtId="0" fontId="0" fillId="4" borderId="1" xfId="0" applyFill="1" applyBorder="1" applyAlignment="1">
      <alignment horizontal="center"/>
    </xf>
    <xf numFmtId="0" fontId="5" fillId="0" borderId="0" xfId="0" applyFont="1" applyAlignment="1">
      <alignment horizontal="center"/>
    </xf>
    <xf numFmtId="0" fontId="0" fillId="4" borderId="1" xfId="0" applyFill="1" applyBorder="1"/>
    <xf numFmtId="9"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8"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5" fillId="2" borderId="1" xfId="0" applyFont="1" applyFill="1" applyBorder="1" applyAlignment="1">
      <alignment horizontal="center"/>
    </xf>
    <xf numFmtId="0" fontId="5" fillId="2" borderId="9" xfId="0" applyFont="1" applyFill="1" applyBorder="1" applyAlignment="1">
      <alignment horizontal="center"/>
    </xf>
    <xf numFmtId="0" fontId="5" fillId="9" borderId="1" xfId="0" applyFont="1" applyFill="1" applyBorder="1" applyAlignment="1">
      <alignment horizontal="center"/>
    </xf>
    <xf numFmtId="0" fontId="0" fillId="9" borderId="8" xfId="0" applyNumberFormat="1" applyFill="1" applyBorder="1" applyAlignment="1">
      <alignment horizontal="center" vertical="center"/>
    </xf>
    <xf numFmtId="0" fontId="5" fillId="11" borderId="1" xfId="0" applyFont="1" applyFill="1" applyBorder="1" applyAlignment="1">
      <alignment horizontal="center"/>
    </xf>
    <xf numFmtId="0" fontId="0" fillId="11" borderId="8" xfId="0" applyNumberFormat="1" applyFill="1" applyBorder="1" applyAlignment="1">
      <alignment horizontal="center" vertical="center"/>
    </xf>
    <xf numFmtId="0" fontId="5" fillId="10" borderId="1" xfId="0" applyFont="1" applyFill="1" applyBorder="1" applyAlignment="1">
      <alignment horizontal="center"/>
    </xf>
    <xf numFmtId="0" fontId="0" fillId="10" borderId="8" xfId="0" applyNumberFormat="1" applyFill="1" applyBorder="1" applyAlignment="1">
      <alignment horizontal="center" vertical="center"/>
    </xf>
    <xf numFmtId="0" fontId="5" fillId="12" borderId="1" xfId="0" applyFont="1" applyFill="1" applyBorder="1" applyAlignment="1">
      <alignment horizontal="center"/>
    </xf>
    <xf numFmtId="0" fontId="0" fillId="12" borderId="8" xfId="0" applyNumberFormat="1" applyFill="1" applyBorder="1" applyAlignment="1">
      <alignment horizontal="center" vertical="center"/>
    </xf>
    <xf numFmtId="0" fontId="5" fillId="13" borderId="1" xfId="0" applyFont="1" applyFill="1" applyBorder="1" applyAlignment="1">
      <alignment horizontal="center"/>
    </xf>
    <xf numFmtId="0" fontId="0" fillId="13" borderId="1" xfId="0" applyFill="1" applyBorder="1"/>
    <xf numFmtId="0" fontId="5" fillId="14" borderId="1" xfId="0" applyFont="1" applyFill="1" applyBorder="1" applyAlignment="1">
      <alignment horizontal="center"/>
    </xf>
    <xf numFmtId="0" fontId="0" fillId="14" borderId="1" xfId="0" applyFill="1" applyBorder="1"/>
    <xf numFmtId="0" fontId="5" fillId="4" borderId="1" xfId="0" applyFont="1" applyFill="1" applyBorder="1" applyAlignment="1">
      <alignment horizontal="center"/>
    </xf>
    <xf numFmtId="0" fontId="5" fillId="15" borderId="1" xfId="0" applyFont="1" applyFill="1" applyBorder="1" applyAlignment="1">
      <alignment horizontal="center"/>
    </xf>
    <xf numFmtId="0" fontId="0" fillId="15" borderId="1" xfId="0" applyFill="1" applyBorder="1"/>
    <xf numFmtId="0" fontId="5" fillId="16" borderId="1" xfId="0" applyFont="1" applyFill="1" applyBorder="1" applyAlignment="1">
      <alignment horizontal="center"/>
    </xf>
    <xf numFmtId="0" fontId="0" fillId="16" borderId="1" xfId="0" applyFill="1" applyBorder="1"/>
    <xf numFmtId="0" fontId="5" fillId="17" borderId="1" xfId="0" applyFont="1" applyFill="1" applyBorder="1" applyAlignment="1">
      <alignment horizontal="center"/>
    </xf>
    <xf numFmtId="0" fontId="0" fillId="17" borderId="1" xfId="0" applyFill="1" applyBorder="1"/>
    <xf numFmtId="0" fontId="5" fillId="8" borderId="1" xfId="0" applyFont="1" applyFill="1" applyBorder="1" applyAlignment="1">
      <alignment horizontal="center"/>
    </xf>
    <xf numFmtId="0" fontId="0" fillId="8" borderId="1" xfId="0" applyFill="1" applyBorder="1"/>
    <xf numFmtId="0" fontId="0" fillId="9" borderId="1" xfId="0" applyFill="1" applyBorder="1"/>
    <xf numFmtId="0" fontId="0" fillId="10" borderId="1" xfId="0" applyFill="1" applyBorder="1"/>
    <xf numFmtId="0" fontId="5" fillId="3" borderId="1" xfId="0" applyFont="1" applyFill="1" applyBorder="1" applyAlignment="1">
      <alignment horizontal="center"/>
    </xf>
    <xf numFmtId="0" fontId="0" fillId="2" borderId="1" xfId="0" applyNumberFormat="1" applyFill="1" applyBorder="1" applyAlignment="1">
      <alignment horizontal="center"/>
    </xf>
    <xf numFmtId="0" fontId="0" fillId="9" borderId="1" xfId="0" applyFill="1" applyBorder="1" applyAlignment="1">
      <alignment horizontal="center"/>
    </xf>
    <xf numFmtId="0" fontId="0" fillId="9" borderId="1" xfId="0" applyNumberFormat="1" applyFill="1" applyBorder="1" applyAlignment="1">
      <alignment horizontal="center"/>
    </xf>
    <xf numFmtId="0" fontId="0" fillId="11" borderId="1" xfId="0" applyFill="1" applyBorder="1" applyAlignment="1">
      <alignment horizontal="center"/>
    </xf>
    <xf numFmtId="0" fontId="0" fillId="10" borderId="1" xfId="0" applyFill="1" applyBorder="1" applyAlignment="1">
      <alignment horizontal="center"/>
    </xf>
    <xf numFmtId="0" fontId="0" fillId="12" borderId="1" xfId="0" applyFill="1" applyBorder="1" applyAlignment="1">
      <alignment horizontal="center"/>
    </xf>
    <xf numFmtId="0" fontId="0" fillId="12" borderId="1" xfId="0" applyFill="1" applyBorder="1"/>
    <xf numFmtId="0" fontId="0" fillId="13" borderId="1" xfId="0" applyFill="1" applyBorder="1" applyAlignment="1">
      <alignment horizontal="center"/>
    </xf>
    <xf numFmtId="0" fontId="0" fillId="13" borderId="1" xfId="0" applyNumberFormat="1" applyFill="1" applyBorder="1" applyAlignment="1">
      <alignment horizontal="center"/>
    </xf>
    <xf numFmtId="0" fontId="0" fillId="14" borderId="1" xfId="0" applyFill="1" applyBorder="1" applyAlignment="1">
      <alignment horizontal="center"/>
    </xf>
    <xf numFmtId="0" fontId="0" fillId="15" borderId="1" xfId="0" applyFill="1" applyBorder="1" applyAlignment="1">
      <alignment horizontal="center"/>
    </xf>
    <xf numFmtId="0" fontId="0" fillId="16" borderId="1" xfId="0" applyFill="1" applyBorder="1" applyAlignment="1">
      <alignment horizontal="center"/>
    </xf>
    <xf numFmtId="0" fontId="0" fillId="17" borderId="1" xfId="0" applyFill="1" applyBorder="1" applyAlignment="1">
      <alignment horizontal="center"/>
    </xf>
    <xf numFmtId="0" fontId="0" fillId="8" borderId="1" xfId="0" applyFill="1" applyBorder="1" applyAlignment="1">
      <alignment horizontal="center"/>
    </xf>
    <xf numFmtId="0" fontId="0" fillId="8" borderId="1" xfId="0" applyNumberFormat="1" applyFill="1" applyBorder="1" applyAlignment="1">
      <alignment horizontal="center"/>
    </xf>
    <xf numFmtId="0" fontId="0" fillId="10" borderId="1" xfId="0" applyNumberFormat="1" applyFill="1" applyBorder="1"/>
    <xf numFmtId="0" fontId="0" fillId="3" borderId="1" xfId="0" applyNumberFormat="1" applyFill="1" applyBorder="1"/>
    <xf numFmtId="0" fontId="0" fillId="12" borderId="1" xfId="0" applyNumberFormat="1" applyFill="1" applyBorder="1" applyAlignment="1">
      <alignment horizontal="center"/>
    </xf>
    <xf numFmtId="0" fontId="0" fillId="16" borderId="1" xfId="0" applyNumberFormat="1" applyFill="1" applyBorder="1" applyAlignment="1">
      <alignment horizontal="center"/>
    </xf>
    <xf numFmtId="0" fontId="0" fillId="10" borderId="1" xfId="0" applyNumberFormat="1" applyFill="1" applyBorder="1" applyAlignment="1">
      <alignment horizontal="center"/>
    </xf>
    <xf numFmtId="0" fontId="0" fillId="11" borderId="1" xfId="0" applyNumberFormat="1" applyFill="1" applyBorder="1" applyAlignment="1">
      <alignment horizontal="center"/>
    </xf>
    <xf numFmtId="3" fontId="0" fillId="8" borderId="1" xfId="0" applyNumberFormat="1" applyFill="1" applyBorder="1" applyAlignment="1">
      <alignment horizontal="center"/>
    </xf>
    <xf numFmtId="0" fontId="5" fillId="0" borderId="0" xfId="0" applyFont="1"/>
    <xf numFmtId="0" fontId="4" fillId="0" borderId="0" xfId="0" applyFont="1"/>
    <xf numFmtId="0" fontId="4" fillId="0" borderId="1" xfId="0" applyFont="1" applyBorder="1" applyAlignment="1">
      <alignment horizontal="center" vertical="center"/>
    </xf>
    <xf numFmtId="4" fontId="4" fillId="0" borderId="1" xfId="0" applyNumberFormat="1" applyFont="1" applyBorder="1" applyAlignment="1">
      <alignment horizontal="center"/>
    </xf>
    <xf numFmtId="0" fontId="4" fillId="0" borderId="1" xfId="0" applyFont="1" applyBorder="1" applyAlignment="1">
      <alignment horizontal="center"/>
    </xf>
    <xf numFmtId="0" fontId="0" fillId="0" borderId="0" xfId="0" applyBorder="1" applyAlignment="1">
      <alignment horizontal="center"/>
    </xf>
    <xf numFmtId="0" fontId="4" fillId="0" borderId="0" xfId="0" applyFont="1" applyBorder="1" applyAlignment="1">
      <alignment horizontal="center"/>
    </xf>
    <xf numFmtId="0" fontId="5" fillId="0" borderId="1" xfId="0" applyFont="1" applyBorder="1" applyAlignment="1">
      <alignment horizontal="center"/>
    </xf>
    <xf numFmtId="4" fontId="6" fillId="0" borderId="1" xfId="0" applyNumberFormat="1" applyFont="1" applyBorder="1" applyAlignment="1">
      <alignment horizontal="center"/>
    </xf>
    <xf numFmtId="0" fontId="2" fillId="0" borderId="1" xfId="0" applyFont="1" applyBorder="1" applyAlignment="1">
      <alignment horizontal="center"/>
    </xf>
    <xf numFmtId="4" fontId="2" fillId="0" borderId="1" xfId="0" applyNumberFormat="1" applyFont="1" applyBorder="1" applyAlignment="1">
      <alignment horizontal="center"/>
    </xf>
    <xf numFmtId="0" fontId="2" fillId="0" borderId="0" xfId="0" applyFont="1" applyBorder="1" applyAlignment="1">
      <alignment horizontal="center"/>
    </xf>
    <xf numFmtId="4" fontId="2" fillId="0" borderId="0" xfId="0" applyNumberFormat="1" applyFont="1" applyBorder="1" applyAlignment="1">
      <alignment horizontal="center"/>
    </xf>
    <xf numFmtId="0" fontId="4" fillId="4" borderId="0" xfId="0" applyFont="1" applyFill="1"/>
    <xf numFmtId="0" fontId="0" fillId="0" borderId="3" xfId="0" applyBorder="1" applyAlignment="1">
      <alignment horizontal="center" vertical="center" wrapText="1"/>
    </xf>
    <xf numFmtId="165" fontId="0" fillId="0" borderId="1" xfId="0" applyNumberFormat="1" applyBorder="1" applyAlignment="1">
      <alignment horizontal="center"/>
    </xf>
    <xf numFmtId="0" fontId="0" fillId="0" borderId="0" xfId="0" applyAlignment="1">
      <alignment horizontal="right"/>
    </xf>
    <xf numFmtId="0" fontId="0" fillId="0" borderId="0" xfId="0" applyAlignment="1">
      <alignment horizontal="left"/>
    </xf>
    <xf numFmtId="3" fontId="0" fillId="0" borderId="1" xfId="0" applyNumberFormat="1" applyBorder="1" applyAlignment="1">
      <alignment horizontal="center"/>
    </xf>
    <xf numFmtId="3" fontId="0" fillId="0" borderId="0" xfId="0" applyNumberFormat="1" applyBorder="1" applyAlignment="1">
      <alignment horizontal="center"/>
    </xf>
    <xf numFmtId="2" fontId="0" fillId="0" borderId="0" xfId="0" applyNumberFormat="1" applyAlignment="1">
      <alignment horizontal="center"/>
    </xf>
    <xf numFmtId="0" fontId="0" fillId="0" borderId="0" xfId="0" applyBorder="1" applyAlignment="1"/>
    <xf numFmtId="4" fontId="0" fillId="0" borderId="0" xfId="0" applyNumberFormat="1" applyAlignment="1">
      <alignment horizontal="center"/>
    </xf>
    <xf numFmtId="3" fontId="0" fillId="0" borderId="0" xfId="0" applyNumberFormat="1" applyAlignment="1">
      <alignment horizontal="center"/>
    </xf>
    <xf numFmtId="4" fontId="5" fillId="13" borderId="1" xfId="0" applyNumberFormat="1" applyFont="1" applyFill="1" applyBorder="1" applyAlignment="1">
      <alignment horizontal="center"/>
    </xf>
    <xf numFmtId="10" fontId="0" fillId="0" borderId="0" xfId="0" applyNumberFormat="1"/>
    <xf numFmtId="0" fontId="0" fillId="3" borderId="1" xfId="0" applyFill="1" applyBorder="1" applyAlignment="1">
      <alignment horizontal="center"/>
    </xf>
    <xf numFmtId="4" fontId="5" fillId="0" borderId="0" xfId="0" applyNumberFormat="1" applyFont="1" applyBorder="1"/>
    <xf numFmtId="4" fontId="0" fillId="0" borderId="4" xfId="0" applyNumberFormat="1" applyBorder="1"/>
    <xf numFmtId="0" fontId="13" fillId="3" borderId="16" xfId="0" applyNumberFormat="1" applyFont="1" applyFill="1" applyBorder="1" applyAlignment="1">
      <alignment horizontal="left"/>
    </xf>
    <xf numFmtId="0" fontId="14" fillId="3" borderId="0" xfId="0" applyNumberFormat="1" applyFont="1" applyFill="1" applyBorder="1" applyAlignment="1">
      <alignment horizontal="left"/>
    </xf>
    <xf numFmtId="166" fontId="14" fillId="3" borderId="0" xfId="0" applyNumberFormat="1" applyFont="1" applyFill="1" applyBorder="1" applyAlignment="1">
      <alignment horizontal="left"/>
    </xf>
    <xf numFmtId="0" fontId="14" fillId="3" borderId="17" xfId="0" applyNumberFormat="1" applyFont="1" applyFill="1" applyBorder="1" applyAlignment="1">
      <alignment horizontal="left"/>
    </xf>
    <xf numFmtId="0" fontId="0" fillId="0" borderId="1" xfId="0" applyBorder="1" applyAlignment="1">
      <alignment horizontal="center" vertical="center"/>
    </xf>
    <xf numFmtId="0" fontId="0" fillId="0" borderId="1" xfId="0" applyBorder="1" applyAlignment="1">
      <alignment horizontal="center"/>
    </xf>
    <xf numFmtId="0" fontId="0" fillId="0" borderId="0" xfId="0" applyFill="1" applyBorder="1" applyAlignment="1">
      <alignment horizontal="center"/>
    </xf>
    <xf numFmtId="0" fontId="15" fillId="9" borderId="21" xfId="0" applyFont="1" applyFill="1" applyBorder="1" applyAlignment="1">
      <alignment horizontal="center" vertical="center" wrapText="1"/>
    </xf>
    <xf numFmtId="0" fontId="15" fillId="9" borderId="22" xfId="0" applyFont="1" applyFill="1" applyBorder="1" applyAlignment="1">
      <alignment horizontal="center" vertical="center" wrapText="1"/>
    </xf>
    <xf numFmtId="0" fontId="15" fillId="18" borderId="23" xfId="0" applyFont="1" applyFill="1" applyBorder="1" applyAlignment="1">
      <alignment horizontal="center" vertical="center" wrapText="1"/>
    </xf>
    <xf numFmtId="0" fontId="15" fillId="18" borderId="24" xfId="0" applyFont="1" applyFill="1" applyBorder="1" applyAlignment="1">
      <alignment horizontal="center" vertical="center" wrapText="1"/>
    </xf>
    <xf numFmtId="0" fontId="15" fillId="18" borderId="25" xfId="0" applyFont="1" applyFill="1" applyBorder="1" applyAlignment="1">
      <alignment horizontal="center" vertical="center" wrapText="1"/>
    </xf>
    <xf numFmtId="0" fontId="0" fillId="9" borderId="26" xfId="0" applyFill="1" applyBorder="1" applyAlignment="1">
      <alignment horizontal="center" vertical="center" wrapText="1"/>
    </xf>
    <xf numFmtId="0" fontId="0" fillId="9" borderId="27" xfId="0" applyFill="1" applyBorder="1" applyAlignment="1">
      <alignment horizontal="center" vertical="center" wrapText="1"/>
    </xf>
    <xf numFmtId="0" fontId="15" fillId="9" borderId="28" xfId="0" applyFont="1" applyFill="1" applyBorder="1" applyAlignment="1">
      <alignment horizontal="center" vertical="center" wrapText="1"/>
    </xf>
    <xf numFmtId="0" fontId="15" fillId="9" borderId="29" xfId="0" applyFont="1" applyFill="1" applyBorder="1" applyAlignment="1">
      <alignment horizontal="center" vertical="center" wrapText="1"/>
    </xf>
    <xf numFmtId="0" fontId="15" fillId="9" borderId="30" xfId="0" applyFont="1" applyFill="1" applyBorder="1" applyAlignment="1">
      <alignment horizontal="center" vertical="center" wrapText="1"/>
    </xf>
    <xf numFmtId="0" fontId="15" fillId="0" borderId="21" xfId="0" applyFont="1" applyBorder="1" applyAlignment="1">
      <alignment horizontal="center"/>
    </xf>
    <xf numFmtId="167" fontId="15" fillId="0" borderId="22" xfId="0" applyNumberFormat="1" applyFont="1" applyBorder="1" applyAlignment="1">
      <alignment horizontal="center"/>
    </xf>
    <xf numFmtId="0" fontId="0" fillId="0" borderId="31" xfId="0" applyFill="1" applyBorder="1" applyAlignment="1">
      <alignment horizontal="center"/>
    </xf>
    <xf numFmtId="0" fontId="0" fillId="0" borderId="11" xfId="0" applyFill="1" applyBorder="1" applyAlignment="1">
      <alignment horizontal="center"/>
    </xf>
    <xf numFmtId="3" fontId="0" fillId="4" borderId="32" xfId="0" applyNumberFormat="1" applyFill="1" applyBorder="1" applyAlignment="1">
      <alignment horizontal="center" vertical="center" wrapText="1"/>
    </xf>
    <xf numFmtId="0" fontId="15" fillId="0" borderId="33" xfId="0" applyFont="1" applyBorder="1" applyAlignment="1">
      <alignment horizontal="center"/>
    </xf>
    <xf numFmtId="0" fontId="0" fillId="0" borderId="33" xfId="0" applyFill="1" applyBorder="1" applyAlignment="1">
      <alignment horizontal="center"/>
    </xf>
    <xf numFmtId="3" fontId="0" fillId="4" borderId="34" xfId="0" applyNumberFormat="1" applyFill="1" applyBorder="1" applyAlignment="1">
      <alignment horizontal="center" vertical="center" wrapText="1"/>
    </xf>
    <xf numFmtId="0" fontId="0" fillId="0" borderId="26" xfId="0" applyFill="1" applyBorder="1" applyAlignment="1">
      <alignment horizontal="center"/>
    </xf>
    <xf numFmtId="0" fontId="0" fillId="0" borderId="35" xfId="0" applyFill="1" applyBorder="1" applyAlignment="1">
      <alignment horizontal="center"/>
    </xf>
    <xf numFmtId="3" fontId="0" fillId="4" borderId="36" xfId="0" applyNumberFormat="1" applyFill="1" applyBorder="1" applyAlignment="1">
      <alignment horizontal="center" vertical="center" wrapText="1"/>
    </xf>
    <xf numFmtId="4" fontId="4" fillId="3" borderId="1" xfId="0" applyNumberFormat="1" applyFont="1" applyFill="1" applyBorder="1" applyAlignment="1">
      <alignment horizontal="center"/>
    </xf>
    <xf numFmtId="0" fontId="0" fillId="6" borderId="1" xfId="0" applyFill="1" applyBorder="1" applyAlignment="1">
      <alignment horizontal="center"/>
    </xf>
    <xf numFmtId="0" fontId="8" fillId="0" borderId="0" xfId="0" applyFont="1"/>
    <xf numFmtId="0" fontId="15" fillId="0" borderId="0" xfId="0" applyFont="1" applyFill="1" applyBorder="1" applyAlignment="1">
      <alignment horizontal="center" vertical="center" wrapText="1"/>
    </xf>
    <xf numFmtId="0" fontId="15" fillId="2" borderId="33" xfId="0" applyFont="1" applyFill="1" applyBorder="1" applyAlignment="1">
      <alignment horizontal="center"/>
    </xf>
    <xf numFmtId="167" fontId="15" fillId="2" borderId="22" xfId="0" applyNumberFormat="1" applyFont="1" applyFill="1" applyBorder="1" applyAlignment="1">
      <alignment horizontal="center"/>
    </xf>
    <xf numFmtId="0" fontId="0" fillId="2" borderId="33" xfId="0" applyFill="1" applyBorder="1" applyAlignment="1">
      <alignment horizontal="center"/>
    </xf>
    <xf numFmtId="0" fontId="0" fillId="2" borderId="1" xfId="0" applyFill="1" applyBorder="1" applyAlignment="1">
      <alignment horizontal="center"/>
    </xf>
    <xf numFmtId="0" fontId="0" fillId="3" borderId="0" xfId="0" applyFill="1" applyBorder="1" applyAlignment="1"/>
    <xf numFmtId="9" fontId="0" fillId="0" borderId="0" xfId="0" applyNumberFormat="1" applyAlignment="1">
      <alignment horizontal="left"/>
    </xf>
    <xf numFmtId="0" fontId="0" fillId="0" borderId="0" xfId="0" applyFill="1" applyBorder="1" applyAlignment="1"/>
    <xf numFmtId="0" fontId="2" fillId="18" borderId="1" xfId="0" applyFont="1" applyFill="1" applyBorder="1" applyAlignment="1">
      <alignment horizontal="center"/>
    </xf>
    <xf numFmtId="0" fontId="5" fillId="2" borderId="8" xfId="0" applyFont="1" applyFill="1" applyBorder="1" applyAlignment="1">
      <alignment horizontal="center" vertical="center"/>
    </xf>
    <xf numFmtId="0" fontId="16" fillId="2" borderId="8" xfId="0" applyFont="1" applyFill="1" applyBorder="1" applyAlignment="1">
      <alignment horizontal="left" vertical="center"/>
    </xf>
    <xf numFmtId="0" fontId="0" fillId="2" borderId="8" xfId="0" applyFill="1" applyBorder="1" applyAlignment="1">
      <alignment horizontal="center" vertical="center"/>
    </xf>
    <xf numFmtId="164"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8" borderId="1" xfId="0" applyFill="1" applyBorder="1" applyAlignment="1">
      <alignment horizontal="center" vertical="center"/>
    </xf>
    <xf numFmtId="164" fontId="0" fillId="8" borderId="1" xfId="0" applyNumberFormat="1" applyFill="1" applyBorder="1" applyAlignment="1">
      <alignment horizontal="center" vertical="center"/>
    </xf>
    <xf numFmtId="0" fontId="17" fillId="8" borderId="8" xfId="0" applyFont="1" applyFill="1" applyBorder="1" applyAlignment="1">
      <alignment horizontal="center" vertical="center"/>
    </xf>
    <xf numFmtId="0" fontId="16" fillId="8" borderId="8" xfId="0" applyFont="1" applyFill="1" applyBorder="1" applyAlignment="1">
      <alignment horizontal="left" vertical="center"/>
    </xf>
    <xf numFmtId="4" fontId="2" fillId="18" borderId="1" xfId="0" applyNumberFormat="1" applyFont="1" applyFill="1" applyBorder="1"/>
    <xf numFmtId="0" fontId="18" fillId="0" borderId="0" xfId="2">
      <alignment vertical="top" wrapText="1"/>
    </xf>
    <xf numFmtId="0" fontId="19" fillId="19" borderId="1" xfId="2" applyFont="1" applyFill="1" applyBorder="1">
      <alignment vertical="top" wrapText="1"/>
    </xf>
    <xf numFmtId="0" fontId="19" fillId="19" borderId="1" xfId="2" applyFont="1" applyFill="1" applyBorder="1" applyAlignment="1">
      <alignment horizontal="right"/>
    </xf>
    <xf numFmtId="168" fontId="19" fillId="19" borderId="1" xfId="2" applyNumberFormat="1" applyFont="1" applyFill="1" applyBorder="1">
      <alignment vertical="top" wrapText="1"/>
    </xf>
    <xf numFmtId="0" fontId="19" fillId="0" borderId="0" xfId="2" applyFont="1" applyFill="1">
      <alignment vertical="top" wrapText="1"/>
    </xf>
    <xf numFmtId="0" fontId="20" fillId="0" borderId="0" xfId="2" applyFont="1" applyAlignment="1">
      <alignment vertical="top" wrapText="1"/>
    </xf>
    <xf numFmtId="0" fontId="2" fillId="0" borderId="0" xfId="0" applyFont="1" applyAlignment="1"/>
    <xf numFmtId="164" fontId="2" fillId="0" borderId="0" xfId="0" applyNumberFormat="1" applyFont="1" applyAlignment="1">
      <alignment horizontal="center"/>
    </xf>
    <xf numFmtId="0" fontId="7" fillId="4" borderId="1" xfId="0" applyFont="1" applyFill="1" applyBorder="1" applyAlignment="1">
      <alignment horizontal="center"/>
    </xf>
    <xf numFmtId="0" fontId="7" fillId="4" borderId="8" xfId="0" applyFont="1" applyFill="1" applyBorder="1" applyAlignment="1">
      <alignment horizontal="center"/>
    </xf>
    <xf numFmtId="164" fontId="7" fillId="4" borderId="1" xfId="0" applyNumberFormat="1" applyFont="1" applyFill="1" applyBorder="1" applyAlignment="1">
      <alignment horizontal="center"/>
    </xf>
    <xf numFmtId="0" fontId="7" fillId="0" borderId="12" xfId="0" applyFont="1" applyFill="1" applyBorder="1" applyAlignment="1">
      <alignment horizontal="center"/>
    </xf>
    <xf numFmtId="0" fontId="7" fillId="0" borderId="0" xfId="0" applyFont="1" applyFill="1" applyBorder="1" applyAlignment="1">
      <alignment horizontal="center"/>
    </xf>
    <xf numFmtId="0" fontId="0" fillId="0" borderId="8" xfId="0" applyBorder="1" applyAlignment="1">
      <alignment horizontal="left" vertical="center"/>
    </xf>
    <xf numFmtId="164" fontId="0" fillId="0" borderId="1" xfId="0" applyNumberFormat="1" applyBorder="1" applyAlignment="1">
      <alignment horizontal="center" vertical="center"/>
    </xf>
    <xf numFmtId="164" fontId="0" fillId="0" borderId="12" xfId="0" applyNumberFormat="1" applyFill="1" applyBorder="1" applyAlignment="1">
      <alignment horizontal="center"/>
    </xf>
    <xf numFmtId="164" fontId="0" fillId="0" borderId="0" xfId="0" applyNumberFormat="1" applyFill="1" applyBorder="1" applyAlignment="1">
      <alignment horizontal="center"/>
    </xf>
    <xf numFmtId="0" fontId="0" fillId="0" borderId="9" xfId="0" applyBorder="1" applyAlignment="1">
      <alignment horizontal="left" vertical="center"/>
    </xf>
    <xf numFmtId="0" fontId="0" fillId="0" borderId="12" xfId="0" applyFill="1" applyBorder="1" applyAlignment="1">
      <alignment horizontal="center"/>
    </xf>
    <xf numFmtId="0" fontId="0" fillId="0" borderId="8" xfId="0" applyBorder="1" applyAlignment="1">
      <alignment horizontal="left"/>
    </xf>
    <xf numFmtId="0" fontId="0" fillId="0" borderId="9" xfId="0" applyBorder="1" applyAlignment="1">
      <alignment horizontal="left"/>
    </xf>
    <xf numFmtId="0" fontId="0" fillId="0" borderId="8" xfId="0" applyBorder="1"/>
    <xf numFmtId="0" fontId="0" fillId="0" borderId="9" xfId="0" applyBorder="1"/>
    <xf numFmtId="0" fontId="0" fillId="0" borderId="11" xfId="0" applyBorder="1"/>
    <xf numFmtId="0" fontId="0" fillId="0" borderId="1" xfId="0" applyBorder="1" applyAlignment="1">
      <alignment horizontal="left"/>
    </xf>
    <xf numFmtId="0" fontId="0" fillId="0" borderId="12" xfId="0" applyFill="1" applyBorder="1"/>
    <xf numFmtId="0" fontId="0" fillId="0" borderId="1" xfId="0" applyFill="1" applyBorder="1" applyAlignment="1">
      <alignment horizontal="left"/>
    </xf>
    <xf numFmtId="164" fontId="0" fillId="0" borderId="1" xfId="0" applyNumberFormat="1" applyFill="1" applyBorder="1" applyAlignment="1">
      <alignment horizontal="center" vertical="center"/>
    </xf>
    <xf numFmtId="0" fontId="0" fillId="0" borderId="9" xfId="0" applyFill="1" applyBorder="1"/>
    <xf numFmtId="0" fontId="0" fillId="0" borderId="8" xfId="0" applyFill="1" applyBorder="1"/>
    <xf numFmtId="0" fontId="0" fillId="0" borderId="11" xfId="0" applyFill="1" applyBorder="1"/>
    <xf numFmtId="164" fontId="0" fillId="0" borderId="0" xfId="0" applyNumberFormat="1" applyAlignment="1">
      <alignment horizontal="center"/>
    </xf>
    <xf numFmtId="0" fontId="0" fillId="20" borderId="0" xfId="0" applyFill="1"/>
    <xf numFmtId="0" fontId="21" fillId="20" borderId="0" xfId="0" applyFont="1" applyFill="1"/>
    <xf numFmtId="0" fontId="7" fillId="0" borderId="1" xfId="0" applyFont="1" applyBorder="1"/>
    <xf numFmtId="0" fontId="0" fillId="0" borderId="0" xfId="0" applyNumberFormat="1"/>
    <xf numFmtId="0" fontId="0" fillId="5" borderId="1" xfId="0" applyFill="1" applyBorder="1"/>
    <xf numFmtId="4" fontId="0" fillId="5" borderId="1" xfId="0" applyNumberFormat="1" applyFill="1" applyBorder="1"/>
    <xf numFmtId="0" fontId="7" fillId="5" borderId="1" xfId="0" applyFont="1" applyFill="1" applyBorder="1"/>
    <xf numFmtId="0" fontId="5" fillId="5" borderId="1" xfId="0" applyFont="1" applyFill="1" applyBorder="1" applyAlignment="1">
      <alignment horizontal="center"/>
    </xf>
    <xf numFmtId="0" fontId="22" fillId="0" borderId="0" xfId="0" applyFont="1" applyFill="1"/>
    <xf numFmtId="0" fontId="4" fillId="0" borderId="0" xfId="0" applyFont="1" applyFill="1"/>
    <xf numFmtId="0" fontId="14" fillId="3" borderId="0" xfId="0" applyNumberFormat="1" applyFont="1" applyFill="1" applyBorder="1" applyAlignment="1">
      <alignment horizontal="left" vertical="center" wrapText="1"/>
    </xf>
    <xf numFmtId="0" fontId="14" fillId="0" borderId="0" xfId="0" applyNumberFormat="1" applyFont="1" applyFill="1" applyBorder="1"/>
    <xf numFmtId="0" fontId="13" fillId="0" borderId="0" xfId="0" applyNumberFormat="1" applyFont="1" applyFill="1" applyBorder="1"/>
    <xf numFmtId="9" fontId="14" fillId="0" borderId="0" xfId="1" applyFont="1" applyFill="1" applyBorder="1"/>
    <xf numFmtId="168" fontId="14" fillId="0" borderId="0" xfId="0" applyNumberFormat="1" applyFont="1" applyFill="1" applyBorder="1"/>
    <xf numFmtId="0" fontId="14" fillId="0" borderId="0" xfId="0" applyNumberFormat="1" applyFont="1" applyFill="1" applyBorder="1" applyAlignment="1">
      <alignment horizontal="left" vertical="center" wrapText="1"/>
    </xf>
    <xf numFmtId="169" fontId="14" fillId="0" borderId="0" xfId="0" applyNumberFormat="1" applyFont="1" applyFill="1" applyBorder="1" applyAlignment="1">
      <alignment horizontal="left" vertical="center" wrapText="1"/>
    </xf>
    <xf numFmtId="0" fontId="14" fillId="0" borderId="0" xfId="0" applyNumberFormat="1" applyFont="1" applyFill="1" applyBorder="1" applyAlignment="1">
      <alignment horizontal="right"/>
    </xf>
    <xf numFmtId="3" fontId="14" fillId="0" borderId="0" xfId="0" applyNumberFormat="1" applyFont="1" applyFill="1" applyBorder="1" applyAlignment="1">
      <alignment horizontal="left"/>
    </xf>
    <xf numFmtId="3" fontId="14" fillId="0" borderId="0" xfId="0" applyNumberFormat="1" applyFont="1" applyFill="1" applyBorder="1"/>
    <xf numFmtId="170" fontId="14" fillId="0" borderId="0" xfId="1" applyNumberFormat="1" applyFont="1" applyFill="1" applyBorder="1"/>
    <xf numFmtId="4" fontId="14" fillId="0" borderId="0" xfId="0" applyNumberFormat="1" applyFont="1" applyFill="1" applyBorder="1"/>
    <xf numFmtId="4" fontId="14" fillId="0" borderId="0" xfId="0" applyNumberFormat="1" applyFont="1" applyFill="1" applyBorder="1" applyAlignment="1">
      <alignment horizontal="left"/>
    </xf>
    <xf numFmtId="0" fontId="14" fillId="0" borderId="0" xfId="0" applyNumberFormat="1" applyFont="1" applyFill="1" applyBorder="1" applyAlignment="1">
      <alignment horizontal="left"/>
    </xf>
    <xf numFmtId="4" fontId="13" fillId="0" borderId="0" xfId="0" applyNumberFormat="1" applyFont="1" applyFill="1" applyBorder="1"/>
    <xf numFmtId="2" fontId="0" fillId="0" borderId="1" xfId="0" applyNumberFormat="1" applyBorder="1"/>
    <xf numFmtId="0" fontId="13" fillId="3" borderId="0" xfId="0" applyNumberFormat="1" applyFont="1" applyFill="1" applyBorder="1" applyAlignment="1">
      <alignment horizontal="left" vertical="center" wrapText="1"/>
    </xf>
    <xf numFmtId="0" fontId="14" fillId="9" borderId="14" xfId="0" applyNumberFormat="1" applyFont="1" applyFill="1" applyBorder="1"/>
    <xf numFmtId="0" fontId="14" fillId="9" borderId="13" xfId="0" applyNumberFormat="1" applyFont="1" applyFill="1" applyBorder="1"/>
    <xf numFmtId="0" fontId="14" fillId="9" borderId="19" xfId="0" applyNumberFormat="1" applyFont="1" applyFill="1" applyBorder="1"/>
    <xf numFmtId="0" fontId="14" fillId="9" borderId="18" xfId="0" applyNumberFormat="1" applyFont="1" applyFill="1" applyBorder="1"/>
    <xf numFmtId="0" fontId="14" fillId="9" borderId="0" xfId="0" applyNumberFormat="1" applyFont="1" applyFill="1" applyBorder="1"/>
    <xf numFmtId="0" fontId="14" fillId="9" borderId="16" xfId="0" applyNumberFormat="1" applyFont="1" applyFill="1" applyBorder="1"/>
    <xf numFmtId="2" fontId="14" fillId="9" borderId="0" xfId="0" applyNumberFormat="1" applyFont="1" applyFill="1" applyBorder="1"/>
    <xf numFmtId="9" fontId="14" fillId="9" borderId="0" xfId="0" applyNumberFormat="1" applyFont="1" applyFill="1" applyBorder="1"/>
    <xf numFmtId="0" fontId="14" fillId="9" borderId="37" xfId="0" applyNumberFormat="1" applyFont="1" applyFill="1" applyBorder="1"/>
    <xf numFmtId="0" fontId="14" fillId="9" borderId="28" xfId="0" applyNumberFormat="1" applyFont="1" applyFill="1" applyBorder="1"/>
    <xf numFmtId="0" fontId="14" fillId="9" borderId="38" xfId="0" applyNumberFormat="1" applyFont="1" applyFill="1" applyBorder="1"/>
    <xf numFmtId="0" fontId="26" fillId="0" borderId="0" xfId="0" applyNumberFormat="1" applyFont="1" applyFill="1" applyAlignment="1"/>
    <xf numFmtId="4" fontId="26" fillId="0" borderId="0" xfId="0" applyNumberFormat="1" applyFont="1" applyFill="1" applyBorder="1"/>
    <xf numFmtId="0" fontId="14" fillId="0" borderId="14" xfId="0" applyNumberFormat="1" applyFont="1" applyFill="1" applyBorder="1"/>
    <xf numFmtId="3" fontId="14" fillId="0" borderId="14" xfId="0" applyNumberFormat="1" applyFont="1" applyFill="1" applyBorder="1"/>
    <xf numFmtId="3" fontId="14" fillId="0" borderId="15" xfId="0" applyNumberFormat="1" applyFont="1" applyFill="1" applyBorder="1"/>
    <xf numFmtId="3" fontId="14" fillId="0" borderId="17" xfId="0" applyNumberFormat="1" applyFont="1" applyFill="1" applyBorder="1"/>
    <xf numFmtId="3" fontId="13" fillId="0" borderId="19" xfId="0" applyNumberFormat="1" applyFont="1" applyFill="1" applyBorder="1"/>
    <xf numFmtId="3" fontId="13" fillId="0" borderId="20" xfId="0" applyNumberFormat="1" applyFont="1" applyFill="1" applyBorder="1"/>
    <xf numFmtId="3" fontId="13" fillId="0" borderId="24" xfId="0" applyNumberFormat="1" applyFont="1" applyFill="1" applyBorder="1"/>
    <xf numFmtId="3" fontId="13" fillId="0" borderId="25" xfId="0" applyNumberFormat="1" applyFont="1" applyFill="1" applyBorder="1"/>
    <xf numFmtId="0" fontId="14" fillId="0" borderId="19" xfId="0" applyNumberFormat="1" applyFont="1" applyFill="1" applyBorder="1"/>
    <xf numFmtId="3" fontId="14" fillId="0" borderId="19" xfId="0" applyNumberFormat="1" applyFont="1" applyFill="1" applyBorder="1"/>
    <xf numFmtId="0" fontId="13" fillId="0" borderId="13" xfId="0" applyNumberFormat="1" applyFont="1" applyFill="1" applyBorder="1" applyAlignment="1">
      <alignment horizontal="left"/>
    </xf>
    <xf numFmtId="9" fontId="14" fillId="0" borderId="14" xfId="1" applyFont="1" applyFill="1" applyBorder="1" applyAlignment="1">
      <alignment horizontal="left" vertical="center" wrapText="1"/>
    </xf>
    <xf numFmtId="0" fontId="14" fillId="0" borderId="15" xfId="0" applyNumberFormat="1" applyFont="1" applyFill="1" applyBorder="1" applyAlignment="1">
      <alignment horizontal="left"/>
    </xf>
    <xf numFmtId="0" fontId="13" fillId="0" borderId="18" xfId="0" applyNumberFormat="1" applyFont="1" applyFill="1" applyBorder="1" applyAlignment="1">
      <alignment horizontal="left"/>
    </xf>
    <xf numFmtId="0" fontId="14" fillId="0" borderId="19" xfId="0" applyNumberFormat="1" applyFont="1" applyFill="1" applyBorder="1" applyAlignment="1">
      <alignment horizontal="left"/>
    </xf>
    <xf numFmtId="166" fontId="13" fillId="0" borderId="19" xfId="0" applyNumberFormat="1" applyFont="1" applyFill="1" applyBorder="1"/>
    <xf numFmtId="0" fontId="14" fillId="0" borderId="20" xfId="0" applyNumberFormat="1" applyFont="1" applyFill="1" applyBorder="1" applyAlignment="1">
      <alignment horizontal="left"/>
    </xf>
    <xf numFmtId="0" fontId="0" fillId="0" borderId="14" xfId="0" applyBorder="1"/>
    <xf numFmtId="0" fontId="0" fillId="0" borderId="19" xfId="0" applyBorder="1"/>
    <xf numFmtId="0" fontId="0" fillId="0" borderId="19" xfId="0" applyFill="1" applyBorder="1"/>
    <xf numFmtId="0" fontId="0" fillId="0" borderId="20" xfId="0" applyBorder="1"/>
    <xf numFmtId="0" fontId="0" fillId="0" borderId="14" xfId="0" applyFill="1" applyBorder="1"/>
    <xf numFmtId="0" fontId="0" fillId="0" borderId="15" xfId="0" applyBorder="1"/>
    <xf numFmtId="165" fontId="0" fillId="0" borderId="1" xfId="0" applyNumberFormat="1" applyBorder="1"/>
    <xf numFmtId="0" fontId="0" fillId="0" borderId="0" xfId="0" applyAlignment="1">
      <alignment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4" fontId="5" fillId="0" borderId="0" xfId="0" applyNumberFormat="1" applyFont="1" applyFill="1" applyBorder="1" applyAlignment="1">
      <alignment horizontal="center"/>
    </xf>
    <xf numFmtId="3" fontId="0" fillId="0" borderId="0" xfId="0" applyNumberFormat="1"/>
    <xf numFmtId="0" fontId="0" fillId="0" borderId="0" xfId="0" applyFill="1" applyBorder="1" applyAlignment="1">
      <alignment horizontal="center"/>
    </xf>
    <xf numFmtId="0" fontId="5" fillId="0" borderId="1" xfId="0" applyFont="1" applyBorder="1" applyAlignment="1">
      <alignment horizontal="center"/>
    </xf>
    <xf numFmtId="0" fontId="0" fillId="0" borderId="0" xfId="0" applyFill="1" applyBorder="1" applyAlignment="1">
      <alignment horizontal="center"/>
    </xf>
    <xf numFmtId="0" fontId="13" fillId="0" borderId="0" xfId="0" applyNumberFormat="1" applyFont="1" applyFill="1" applyBorder="1" applyAlignment="1">
      <alignment horizontal="left"/>
    </xf>
    <xf numFmtId="166" fontId="13" fillId="0" borderId="0" xfId="0" applyNumberFormat="1" applyFont="1" applyFill="1" applyBorder="1"/>
    <xf numFmtId="0" fontId="5" fillId="0" borderId="0" xfId="0" applyFont="1" applyFill="1" applyBorder="1" applyAlignment="1">
      <alignment vertical="center" wrapText="1"/>
    </xf>
    <xf numFmtId="0" fontId="5" fillId="0" borderId="0" xfId="0" applyFont="1" applyBorder="1" applyAlignment="1">
      <alignment horizontal="center"/>
    </xf>
    <xf numFmtId="0" fontId="27" fillId="0" borderId="0" xfId="0" applyNumberFormat="1" applyFont="1" applyFill="1" applyBorder="1"/>
    <xf numFmtId="0" fontId="27" fillId="0" borderId="13" xfId="0" applyNumberFormat="1" applyFont="1" applyFill="1" applyBorder="1" applyAlignment="1">
      <alignment horizontal="left"/>
    </xf>
    <xf numFmtId="9" fontId="15" fillId="0" borderId="14" xfId="1" applyFont="1" applyFill="1" applyBorder="1" applyAlignment="1">
      <alignment horizontal="left" vertical="center" wrapText="1"/>
    </xf>
    <xf numFmtId="3" fontId="15" fillId="0" borderId="14" xfId="0" applyNumberFormat="1" applyFont="1" applyFill="1" applyBorder="1"/>
    <xf numFmtId="0" fontId="15" fillId="0" borderId="15" xfId="0" applyNumberFormat="1" applyFont="1" applyFill="1" applyBorder="1" applyAlignment="1">
      <alignment horizontal="left"/>
    </xf>
    <xf numFmtId="0" fontId="15" fillId="0" borderId="0" xfId="0" applyNumberFormat="1" applyFont="1" applyFill="1" applyBorder="1"/>
    <xf numFmtId="4" fontId="15" fillId="0" borderId="0" xfId="0" applyNumberFormat="1" applyFont="1" applyFill="1" applyBorder="1"/>
    <xf numFmtId="0" fontId="27" fillId="0" borderId="0" xfId="0" applyNumberFormat="1" applyFont="1" applyFill="1" applyBorder="1" applyAlignment="1">
      <alignment horizontal="left"/>
    </xf>
    <xf numFmtId="0" fontId="15" fillId="0" borderId="0" xfId="0" applyNumberFormat="1" applyFont="1" applyFill="1" applyBorder="1" applyAlignment="1">
      <alignment horizontal="left"/>
    </xf>
    <xf numFmtId="166" fontId="27" fillId="0" borderId="0" xfId="0" applyNumberFormat="1" applyFont="1" applyFill="1" applyBorder="1"/>
    <xf numFmtId="4" fontId="0" fillId="0" borderId="4" xfId="0" applyNumberFormat="1" applyFill="1" applyBorder="1"/>
    <xf numFmtId="0" fontId="15" fillId="0" borderId="14" xfId="0" applyNumberFormat="1" applyFont="1" applyFill="1" applyBorder="1"/>
    <xf numFmtId="0" fontId="15" fillId="0" borderId="13" xfId="0" applyNumberFormat="1" applyFont="1" applyFill="1" applyBorder="1"/>
    <xf numFmtId="0" fontId="15" fillId="0" borderId="19" xfId="0" applyNumberFormat="1" applyFont="1" applyFill="1" applyBorder="1"/>
    <xf numFmtId="0" fontId="15" fillId="0" borderId="18" xfId="0" applyNumberFormat="1" applyFont="1" applyFill="1" applyBorder="1"/>
    <xf numFmtId="0" fontId="15" fillId="0" borderId="16" xfId="0" applyNumberFormat="1" applyFont="1" applyFill="1" applyBorder="1"/>
    <xf numFmtId="2" fontId="15" fillId="0" borderId="0" xfId="0" applyNumberFormat="1" applyFont="1" applyFill="1" applyBorder="1"/>
    <xf numFmtId="9" fontId="15" fillId="0" borderId="0" xfId="0" applyNumberFormat="1" applyFont="1" applyFill="1" applyBorder="1"/>
    <xf numFmtId="0" fontId="14" fillId="0" borderId="37" xfId="0" applyNumberFormat="1" applyFont="1" applyFill="1" applyBorder="1"/>
    <xf numFmtId="0" fontId="14" fillId="0" borderId="28" xfId="0" applyNumberFormat="1" applyFont="1" applyFill="1" applyBorder="1"/>
    <xf numFmtId="0" fontId="14" fillId="0" borderId="38" xfId="0" applyNumberFormat="1" applyFont="1" applyFill="1" applyBorder="1"/>
    <xf numFmtId="0" fontId="27" fillId="0" borderId="16" xfId="0" applyNumberFormat="1" applyFont="1" applyFill="1" applyBorder="1" applyAlignment="1">
      <alignment horizontal="left"/>
    </xf>
    <xf numFmtId="0" fontId="15" fillId="0" borderId="17" xfId="0" applyNumberFormat="1" applyFont="1" applyFill="1" applyBorder="1" applyAlignment="1">
      <alignment horizontal="left"/>
    </xf>
    <xf numFmtId="0" fontId="25" fillId="0" borderId="0" xfId="0" applyFont="1" applyFill="1" applyAlignment="1">
      <alignment vertical="center" wrapText="1"/>
    </xf>
    <xf numFmtId="0" fontId="2" fillId="18" borderId="1" xfId="0" applyFont="1" applyFill="1" applyBorder="1" applyAlignment="1">
      <alignment horizontal="center"/>
    </xf>
    <xf numFmtId="0" fontId="2" fillId="0" borderId="0" xfId="0" applyFont="1" applyAlignment="1">
      <alignment horizontal="left"/>
    </xf>
    <xf numFmtId="9" fontId="0" fillId="0" borderId="0" xfId="0" applyNumberFormat="1" applyFill="1" applyAlignment="1">
      <alignment horizontal="left"/>
    </xf>
    <xf numFmtId="0" fontId="0" fillId="0" borderId="1" xfId="0" applyBorder="1" applyAlignment="1">
      <alignment horizontal="center"/>
    </xf>
    <xf numFmtId="2" fontId="0" fillId="0" borderId="1" xfId="0" applyNumberFormat="1" applyBorder="1" applyAlignment="1">
      <alignment horizontal="center"/>
    </xf>
    <xf numFmtId="0" fontId="0" fillId="0" borderId="0" xfId="0" applyFill="1" applyAlignment="1">
      <alignment wrapText="1"/>
    </xf>
    <xf numFmtId="0" fontId="9" fillId="0" borderId="0" xfId="0" applyFont="1" applyFill="1" applyAlignment="1">
      <alignment horizontal="left" vertical="center"/>
    </xf>
    <xf numFmtId="0" fontId="0" fillId="0" borderId="0" xfId="0" applyFill="1" applyAlignment="1">
      <alignment horizontal="center" vertical="center"/>
    </xf>
    <xf numFmtId="0" fontId="5" fillId="0" borderId="0" xfId="0" applyFont="1" applyFill="1"/>
    <xf numFmtId="0" fontId="0" fillId="0" borderId="0" xfId="0" applyFill="1" applyAlignment="1">
      <alignment horizontal="left"/>
    </xf>
    <xf numFmtId="0" fontId="0" fillId="0" borderId="0" xfId="0" applyFill="1" applyAlignment="1">
      <alignment horizontal="right"/>
    </xf>
    <xf numFmtId="4" fontId="0" fillId="0" borderId="0" xfId="0" applyNumberFormat="1" applyFill="1"/>
    <xf numFmtId="0" fontId="0" fillId="0" borderId="0" xfId="0" applyFill="1" applyAlignment="1">
      <alignment horizontal="center"/>
    </xf>
    <xf numFmtId="2" fontId="0" fillId="0" borderId="1" xfId="0" applyNumberFormat="1" applyFill="1" applyBorder="1" applyAlignment="1">
      <alignment horizontal="center"/>
    </xf>
    <xf numFmtId="0" fontId="0" fillId="0" borderId="13" xfId="0" applyFill="1" applyBorder="1"/>
    <xf numFmtId="0" fontId="0" fillId="0" borderId="15" xfId="0" applyFill="1" applyBorder="1"/>
    <xf numFmtId="0" fontId="0" fillId="0" borderId="16" xfId="0" applyFill="1" applyBorder="1"/>
    <xf numFmtId="4" fontId="0" fillId="0" borderId="16" xfId="0" applyNumberFormat="1" applyFill="1" applyBorder="1"/>
    <xf numFmtId="4" fontId="0" fillId="0" borderId="0" xfId="0" applyNumberFormat="1" applyFill="1" applyBorder="1"/>
    <xf numFmtId="4" fontId="5" fillId="0" borderId="23" xfId="0" applyNumberFormat="1" applyFont="1" applyFill="1" applyBorder="1"/>
    <xf numFmtId="4" fontId="5" fillId="0" borderId="24" xfId="0" applyNumberFormat="1" applyFont="1" applyFill="1" applyBorder="1"/>
    <xf numFmtId="4" fontId="5" fillId="0" borderId="25" xfId="0" applyNumberFormat="1" applyFont="1" applyFill="1" applyBorder="1"/>
    <xf numFmtId="4" fontId="0" fillId="0" borderId="13" xfId="0" applyNumberFormat="1" applyFill="1" applyBorder="1"/>
    <xf numFmtId="4" fontId="0" fillId="0" borderId="14" xfId="0" applyNumberFormat="1" applyFill="1" applyBorder="1"/>
    <xf numFmtId="3" fontId="14" fillId="0" borderId="14" xfId="0" applyNumberFormat="1" applyFont="1" applyFill="1" applyBorder="1" applyAlignment="1">
      <alignment horizontal="left"/>
    </xf>
    <xf numFmtId="0" fontId="13" fillId="0" borderId="16" xfId="0" applyNumberFormat="1" applyFont="1" applyFill="1" applyBorder="1" applyAlignment="1">
      <alignment horizontal="left"/>
    </xf>
    <xf numFmtId="166" fontId="14" fillId="0" borderId="0" xfId="0" applyNumberFormat="1" applyFont="1" applyFill="1" applyBorder="1" applyAlignment="1">
      <alignment horizontal="left"/>
    </xf>
    <xf numFmtId="0" fontId="14" fillId="0" borderId="17" xfId="0" applyNumberFormat="1" applyFont="1" applyFill="1" applyBorder="1" applyAlignment="1">
      <alignment horizontal="left"/>
    </xf>
    <xf numFmtId="0" fontId="0" fillId="0" borderId="0" xfId="0" applyFill="1" applyBorder="1" applyAlignment="1">
      <alignment vertical="center"/>
    </xf>
    <xf numFmtId="0" fontId="0" fillId="11" borderId="25" xfId="0" applyFill="1" applyBorder="1" applyAlignment="1">
      <alignment horizontal="center" vertical="center"/>
    </xf>
    <xf numFmtId="0" fontId="0" fillId="11" borderId="39" xfId="0" applyFill="1" applyBorder="1" applyAlignment="1">
      <alignment horizontal="center" vertical="center"/>
    </xf>
    <xf numFmtId="171" fontId="4" fillId="0" borderId="3" xfId="0" applyNumberFormat="1" applyFont="1" applyBorder="1" applyAlignment="1">
      <alignment horizontal="center"/>
    </xf>
    <xf numFmtId="0" fontId="0" fillId="0" borderId="17" xfId="0" applyBorder="1"/>
    <xf numFmtId="9" fontId="4" fillId="0" borderId="0" xfId="0" applyNumberFormat="1" applyFont="1" applyFill="1" applyAlignment="1">
      <alignment horizontal="left"/>
    </xf>
    <xf numFmtId="170" fontId="0" fillId="0" borderId="0" xfId="0" applyNumberFormat="1" applyAlignment="1">
      <alignment horizontal="left"/>
    </xf>
    <xf numFmtId="0" fontId="0" fillId="0" borderId="13" xfId="0" applyBorder="1"/>
    <xf numFmtId="4" fontId="0" fillId="0" borderId="16" xfId="0" applyNumberFormat="1" applyBorder="1"/>
    <xf numFmtId="4" fontId="0" fillId="0" borderId="17" xfId="0" applyNumberFormat="1" applyBorder="1"/>
    <xf numFmtId="4" fontId="5" fillId="0" borderId="19" xfId="0" applyNumberFormat="1" applyFont="1" applyBorder="1"/>
    <xf numFmtId="4" fontId="5" fillId="0" borderId="20" xfId="0" applyNumberFormat="1" applyFont="1" applyBorder="1"/>
    <xf numFmtId="4" fontId="5" fillId="0" borderId="16" xfId="0" applyNumberFormat="1" applyFont="1" applyBorder="1"/>
    <xf numFmtId="4" fontId="5" fillId="0" borderId="17" xfId="0" applyNumberFormat="1" applyFont="1" applyBorder="1"/>
    <xf numFmtId="0" fontId="0" fillId="0" borderId="16" xfId="0" applyBorder="1"/>
    <xf numFmtId="4" fontId="5" fillId="0" borderId="23" xfId="0" applyNumberFormat="1" applyFont="1" applyBorder="1"/>
    <xf numFmtId="4" fontId="5" fillId="0" borderId="24" xfId="0" applyNumberFormat="1" applyFont="1" applyBorder="1"/>
    <xf numFmtId="4" fontId="5" fillId="0" borderId="25" xfId="0" applyNumberFormat="1" applyFont="1" applyBorder="1"/>
    <xf numFmtId="4" fontId="5" fillId="0" borderId="13" xfId="0" applyNumberFormat="1" applyFont="1" applyBorder="1"/>
    <xf numFmtId="4" fontId="5" fillId="0" borderId="14" xfId="0" applyNumberFormat="1" applyFont="1" applyBorder="1"/>
    <xf numFmtId="4" fontId="5" fillId="0" borderId="15" xfId="0" applyNumberFormat="1" applyFont="1" applyBorder="1"/>
    <xf numFmtId="4" fontId="0" fillId="0" borderId="13" xfId="0" applyNumberFormat="1" applyBorder="1"/>
    <xf numFmtId="4" fontId="0" fillId="0" borderId="14" xfId="0" applyNumberFormat="1" applyBorder="1"/>
    <xf numFmtId="4" fontId="0" fillId="0" borderId="15" xfId="0" applyNumberFormat="1" applyBorder="1"/>
    <xf numFmtId="4" fontId="5" fillId="0" borderId="0" xfId="0" applyNumberFormat="1" applyFont="1" applyFill="1" applyBorder="1"/>
    <xf numFmtId="4" fontId="5" fillId="0" borderId="16" xfId="0" applyNumberFormat="1" applyFont="1" applyFill="1" applyBorder="1"/>
    <xf numFmtId="4" fontId="5" fillId="0" borderId="13" xfId="0" applyNumberFormat="1" applyFont="1" applyFill="1" applyBorder="1"/>
    <xf numFmtId="4" fontId="5" fillId="0" borderId="14" xfId="0" applyNumberFormat="1" applyFont="1" applyFill="1" applyBorder="1"/>
    <xf numFmtId="0" fontId="0" fillId="8" borderId="16" xfId="0" applyFill="1" applyBorder="1"/>
    <xf numFmtId="0" fontId="0" fillId="8" borderId="0" xfId="0" applyFont="1" applyFill="1" applyBorder="1"/>
    <xf numFmtId="0" fontId="0" fillId="8" borderId="0" xfId="0" applyFill="1" applyBorder="1"/>
    <xf numFmtId="0" fontId="5" fillId="8" borderId="18" xfId="0" applyFont="1" applyFill="1" applyBorder="1"/>
    <xf numFmtId="0" fontId="0" fillId="8" borderId="19" xfId="0" applyFill="1" applyBorder="1"/>
    <xf numFmtId="0" fontId="0" fillId="8" borderId="0" xfId="0" applyFill="1" applyBorder="1" applyAlignment="1">
      <alignment horizontal="left"/>
    </xf>
    <xf numFmtId="0" fontId="0" fillId="8" borderId="13" xfId="0" applyFill="1" applyBorder="1"/>
    <xf numFmtId="0" fontId="0" fillId="8" borderId="14" xfId="0" applyFill="1" applyBorder="1"/>
    <xf numFmtId="9" fontId="0" fillId="8" borderId="0" xfId="0" applyNumberFormat="1" applyFill="1" applyBorder="1" applyAlignment="1">
      <alignment horizontal="left"/>
    </xf>
    <xf numFmtId="0" fontId="0" fillId="8" borderId="18" xfId="0" applyFill="1" applyBorder="1"/>
    <xf numFmtId="0" fontId="0" fillId="8" borderId="0" xfId="0" applyFill="1"/>
    <xf numFmtId="0" fontId="14" fillId="8" borderId="16" xfId="0" applyNumberFormat="1" applyFont="1" applyFill="1" applyBorder="1"/>
    <xf numFmtId="0" fontId="14" fillId="8" borderId="0" xfId="0" applyNumberFormat="1" applyFont="1" applyFill="1" applyBorder="1"/>
    <xf numFmtId="0" fontId="0" fillId="8" borderId="17" xfId="0" applyFill="1" applyBorder="1"/>
    <xf numFmtId="0" fontId="13" fillId="8" borderId="18" xfId="0" applyNumberFormat="1" applyFont="1" applyFill="1" applyBorder="1"/>
    <xf numFmtId="0" fontId="13" fillId="8" borderId="19" xfId="0" applyNumberFormat="1" applyFont="1" applyFill="1" applyBorder="1"/>
    <xf numFmtId="0" fontId="0" fillId="8" borderId="20" xfId="0" applyFill="1" applyBorder="1"/>
    <xf numFmtId="0" fontId="13" fillId="8" borderId="23" xfId="0" applyNumberFormat="1" applyFont="1" applyFill="1" applyBorder="1"/>
    <xf numFmtId="0" fontId="13" fillId="8" borderId="24" xfId="0" applyNumberFormat="1" applyFont="1" applyFill="1" applyBorder="1"/>
    <xf numFmtId="0" fontId="0" fillId="8" borderId="25" xfId="0" applyFill="1" applyBorder="1"/>
    <xf numFmtId="0" fontId="14" fillId="8" borderId="13" xfId="0" applyNumberFormat="1" applyFont="1" applyFill="1" applyBorder="1"/>
    <xf numFmtId="0" fontId="14" fillId="8" borderId="14" xfId="0" applyNumberFormat="1" applyFont="1" applyFill="1" applyBorder="1"/>
    <xf numFmtId="0" fontId="0" fillId="8" borderId="15" xfId="0" applyFill="1" applyBorder="1"/>
    <xf numFmtId="9" fontId="14" fillId="8" borderId="0" xfId="1" applyFont="1" applyFill="1" applyBorder="1"/>
    <xf numFmtId="0" fontId="14" fillId="8" borderId="18" xfId="0" applyNumberFormat="1" applyFont="1" applyFill="1" applyBorder="1"/>
    <xf numFmtId="0" fontId="14" fillId="8" borderId="19" xfId="0" applyNumberFormat="1" applyFont="1" applyFill="1" applyBorder="1"/>
    <xf numFmtId="0" fontId="24" fillId="8" borderId="24" xfId="0" applyNumberFormat="1" applyFont="1" applyFill="1" applyBorder="1"/>
    <xf numFmtId="3" fontId="13" fillId="0" borderId="0" xfId="0" applyNumberFormat="1" applyFont="1" applyFill="1" applyBorder="1"/>
    <xf numFmtId="3" fontId="14" fillId="0" borderId="13" xfId="0" applyNumberFormat="1" applyFont="1" applyFill="1" applyBorder="1"/>
    <xf numFmtId="3" fontId="14" fillId="0" borderId="16" xfId="0" applyNumberFormat="1" applyFont="1" applyFill="1" applyBorder="1"/>
    <xf numFmtId="3" fontId="13" fillId="0" borderId="18" xfId="0" applyNumberFormat="1" applyFont="1" applyFill="1" applyBorder="1"/>
    <xf numFmtId="0" fontId="13" fillId="8" borderId="0" xfId="0" applyNumberFormat="1" applyFont="1" applyFill="1" applyBorder="1"/>
    <xf numFmtId="3" fontId="13" fillId="0" borderId="17" xfId="0" applyNumberFormat="1" applyFont="1" applyFill="1" applyBorder="1"/>
    <xf numFmtId="0" fontId="0" fillId="8" borderId="24" xfId="0" applyFill="1" applyBorder="1"/>
    <xf numFmtId="0" fontId="13" fillId="8" borderId="13" xfId="0" applyNumberFormat="1" applyFont="1" applyFill="1" applyBorder="1"/>
    <xf numFmtId="0" fontId="13" fillId="8" borderId="14" xfId="0" applyNumberFormat="1" applyFont="1" applyFill="1" applyBorder="1"/>
    <xf numFmtId="3" fontId="13" fillId="0" borderId="14" xfId="0" applyNumberFormat="1" applyFont="1" applyFill="1" applyBorder="1"/>
    <xf numFmtId="3" fontId="13" fillId="0" borderId="15" xfId="0" applyNumberFormat="1" applyFont="1" applyFill="1" applyBorder="1"/>
    <xf numFmtId="4" fontId="0" fillId="0" borderId="18" xfId="0" applyNumberFormat="1" applyBorder="1"/>
    <xf numFmtId="4" fontId="0" fillId="0" borderId="19" xfId="0" applyNumberFormat="1" applyBorder="1"/>
    <xf numFmtId="4" fontId="0" fillId="0" borderId="20" xfId="0" applyNumberFormat="1" applyBorder="1"/>
    <xf numFmtId="0" fontId="0" fillId="8" borderId="0" xfId="0" applyFont="1" applyFill="1" applyBorder="1" applyAlignment="1">
      <alignment horizontal="left"/>
    </xf>
    <xf numFmtId="9" fontId="0" fillId="8" borderId="0" xfId="0" applyNumberFormat="1" applyFill="1" applyBorder="1"/>
    <xf numFmtId="9" fontId="14" fillId="3" borderId="0" xfId="1" applyFont="1" applyFill="1" applyBorder="1" applyAlignment="1">
      <alignment horizontal="left" vertical="center" wrapText="1"/>
    </xf>
    <xf numFmtId="3" fontId="14" fillId="3" borderId="0" xfId="0" applyNumberFormat="1" applyFont="1" applyFill="1" applyBorder="1" applyAlignment="1">
      <alignment horizontal="left"/>
    </xf>
    <xf numFmtId="3" fontId="14" fillId="0" borderId="18" xfId="0" applyNumberFormat="1" applyFont="1" applyFill="1" applyBorder="1"/>
    <xf numFmtId="170" fontId="0" fillId="0" borderId="0" xfId="0" quotePrefix="1" applyNumberFormat="1" applyAlignment="1">
      <alignment horizontal="left"/>
    </xf>
    <xf numFmtId="3" fontId="13" fillId="0" borderId="13" xfId="0" applyNumberFormat="1" applyFont="1" applyFill="1" applyBorder="1"/>
    <xf numFmtId="4" fontId="6" fillId="0" borderId="23" xfId="0" applyNumberFormat="1" applyFont="1" applyFill="1" applyBorder="1"/>
    <xf numFmtId="4" fontId="6" fillId="0" borderId="24" xfId="0" applyNumberFormat="1" applyFont="1" applyFill="1" applyBorder="1"/>
    <xf numFmtId="4" fontId="6" fillId="0" borderId="0" xfId="0" applyNumberFormat="1" applyFont="1" applyFill="1" applyBorder="1"/>
    <xf numFmtId="0" fontId="5" fillId="8" borderId="24" xfId="0" applyFont="1" applyFill="1" applyBorder="1"/>
    <xf numFmtId="0" fontId="28" fillId="0" borderId="0" xfId="0" applyFont="1" applyFill="1" applyAlignment="1">
      <alignment vertical="center" wrapText="1"/>
    </xf>
    <xf numFmtId="2" fontId="0" fillId="0" borderId="8" xfId="0" applyNumberFormat="1" applyFill="1" applyBorder="1" applyAlignment="1">
      <alignment horizontal="center"/>
    </xf>
    <xf numFmtId="0" fontId="28" fillId="0" borderId="0" xfId="0" applyFont="1" applyFill="1" applyBorder="1" applyAlignment="1">
      <alignment vertical="center" wrapText="1"/>
    </xf>
    <xf numFmtId="10" fontId="4" fillId="0" borderId="7" xfId="0" applyNumberFormat="1" applyFont="1" applyBorder="1" applyAlignment="1">
      <alignment horizontal="center"/>
    </xf>
    <xf numFmtId="10" fontId="4" fillId="0" borderId="11" xfId="0" applyNumberFormat="1" applyFont="1" applyBorder="1" applyAlignment="1">
      <alignment horizontal="center"/>
    </xf>
    <xf numFmtId="10" fontId="0" fillId="0" borderId="11" xfId="0" applyNumberFormat="1" applyBorder="1" applyAlignment="1">
      <alignment horizontal="center"/>
    </xf>
    <xf numFmtId="172" fontId="4" fillId="0" borderId="3" xfId="0" applyNumberFormat="1" applyFont="1" applyBorder="1" applyAlignment="1">
      <alignment horizontal="center"/>
    </xf>
    <xf numFmtId="172" fontId="4" fillId="0" borderId="1" xfId="0" applyNumberFormat="1" applyFont="1" applyBorder="1" applyAlignment="1">
      <alignment horizontal="center"/>
    </xf>
    <xf numFmtId="172"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30" fillId="0" borderId="0" xfId="0" applyFont="1" applyFill="1" applyBorder="1" applyAlignment="1">
      <alignment horizontal="center"/>
    </xf>
    <xf numFmtId="0" fontId="1" fillId="0" borderId="0" xfId="0" applyFont="1" applyFill="1" applyBorder="1"/>
    <xf numFmtId="164" fontId="1" fillId="0" borderId="0" xfId="0" applyNumberFormat="1"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Border="1" applyAlignment="1"/>
    <xf numFmtId="0" fontId="1" fillId="0" borderId="0" xfId="0" applyFont="1" applyFill="1" applyBorder="1" applyAlignment="1">
      <alignment horizontal="center" vertical="center"/>
    </xf>
    <xf numFmtId="4" fontId="0" fillId="0" borderId="1" xfId="0" applyNumberFormat="1" applyBorder="1" applyAlignment="1">
      <alignment horizontal="center"/>
    </xf>
    <xf numFmtId="0" fontId="4" fillId="0" borderId="1" xfId="0" applyFont="1" applyFill="1" applyBorder="1" applyAlignment="1">
      <alignment horizontal="center"/>
    </xf>
    <xf numFmtId="0" fontId="14" fillId="3" borderId="19" xfId="0" applyNumberFormat="1" applyFont="1" applyFill="1" applyBorder="1" applyAlignment="1">
      <alignment horizontal="left" vertical="center" wrapText="1"/>
    </xf>
    <xf numFmtId="0" fontId="14" fillId="3" borderId="20" xfId="0" applyNumberFormat="1" applyFont="1" applyFill="1" applyBorder="1" applyAlignment="1">
      <alignment horizontal="left" vertical="center" wrapText="1"/>
    </xf>
    <xf numFmtId="0" fontId="5" fillId="8" borderId="16" xfId="0" applyFont="1" applyFill="1" applyBorder="1" applyAlignment="1">
      <alignment horizontal="left"/>
    </xf>
    <xf numFmtId="0" fontId="5" fillId="8" borderId="0" xfId="0" applyFont="1" applyFill="1" applyBorder="1" applyAlignment="1">
      <alignment horizontal="left"/>
    </xf>
    <xf numFmtId="0" fontId="28" fillId="0" borderId="0" xfId="0" applyFont="1" applyFill="1" applyAlignment="1">
      <alignment horizontal="center" vertical="center" wrapText="1"/>
    </xf>
    <xf numFmtId="0" fontId="5" fillId="8" borderId="13" xfId="0" applyFont="1" applyFill="1" applyBorder="1" applyAlignment="1">
      <alignment horizontal="center"/>
    </xf>
    <xf numFmtId="0" fontId="5" fillId="8" borderId="14" xfId="0" applyFont="1" applyFill="1" applyBorder="1" applyAlignment="1">
      <alignment horizontal="center"/>
    </xf>
    <xf numFmtId="0" fontId="5" fillId="8" borderId="15" xfId="0" applyFont="1" applyFill="1" applyBorder="1" applyAlignment="1">
      <alignment horizontal="center"/>
    </xf>
    <xf numFmtId="0" fontId="19" fillId="19" borderId="1" xfId="2" applyFont="1" applyFill="1" applyBorder="1" applyAlignment="1">
      <alignment horizontal="center" vertical="center" wrapText="1"/>
    </xf>
    <xf numFmtId="0" fontId="20" fillId="0" borderId="0" xfId="2" applyFont="1" applyAlignment="1">
      <alignment horizontal="left" vertical="top" wrapText="1"/>
    </xf>
    <xf numFmtId="0" fontId="29" fillId="0" borderId="23" xfId="2" applyFont="1" applyBorder="1" applyAlignment="1">
      <alignment horizontal="center" vertical="center" wrapText="1"/>
    </xf>
    <xf numFmtId="0" fontId="29" fillId="0" borderId="24" xfId="2" applyFont="1" applyBorder="1" applyAlignment="1">
      <alignment horizontal="center" vertical="center" wrapText="1"/>
    </xf>
    <xf numFmtId="0" fontId="29" fillId="0" borderId="25" xfId="2"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164" fontId="0" fillId="0" borderId="8" xfId="0" applyNumberFormat="1" applyBorder="1" applyAlignment="1">
      <alignment horizontal="center" vertical="center"/>
    </xf>
    <xf numFmtId="164" fontId="0" fillId="0" borderId="11" xfId="0"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2" fillId="18" borderId="1" xfId="0" applyFont="1" applyFill="1" applyBorder="1" applyAlignment="1">
      <alignment horizontal="center"/>
    </xf>
    <xf numFmtId="0" fontId="17" fillId="8" borderId="8" xfId="0" applyFont="1" applyFill="1" applyBorder="1" applyAlignment="1">
      <alignment horizontal="center" vertical="center"/>
    </xf>
    <xf numFmtId="0" fontId="17" fillId="8" borderId="11" xfId="0" applyFont="1" applyFill="1" applyBorder="1" applyAlignment="1">
      <alignment horizontal="center" vertical="center"/>
    </xf>
    <xf numFmtId="0" fontId="16" fillId="8" borderId="8" xfId="0" applyFont="1" applyFill="1" applyBorder="1" applyAlignment="1">
      <alignment horizontal="left" vertical="center" wrapText="1"/>
    </xf>
    <xf numFmtId="0" fontId="16" fillId="8" borderId="11" xfId="0" applyFont="1" applyFill="1" applyBorder="1" applyAlignment="1">
      <alignment horizontal="left" vertical="center" wrapText="1"/>
    </xf>
    <xf numFmtId="164" fontId="0" fillId="8" borderId="8" xfId="0" applyNumberFormat="1" applyFill="1" applyBorder="1" applyAlignment="1">
      <alignment horizontal="center" vertical="center"/>
    </xf>
    <xf numFmtId="164" fontId="0" fillId="8" borderId="11" xfId="0" applyNumberFormat="1" applyFill="1" applyBorder="1" applyAlignment="1">
      <alignment horizontal="center" vertical="center"/>
    </xf>
    <xf numFmtId="0" fontId="17" fillId="2" borderId="8" xfId="0" applyFont="1" applyFill="1" applyBorder="1" applyAlignment="1">
      <alignment horizontal="center" vertical="center"/>
    </xf>
    <xf numFmtId="0" fontId="17" fillId="2" borderId="11" xfId="0" applyFont="1" applyFill="1" applyBorder="1" applyAlignment="1">
      <alignment horizontal="center" vertical="center"/>
    </xf>
    <xf numFmtId="0" fontId="16" fillId="2" borderId="8" xfId="0" applyFont="1" applyFill="1" applyBorder="1" applyAlignment="1">
      <alignment horizontal="left" vertical="center" wrapText="1"/>
    </xf>
    <xf numFmtId="0" fontId="16" fillId="2" borderId="11" xfId="0" applyFont="1" applyFill="1" applyBorder="1" applyAlignment="1">
      <alignment horizontal="left" vertical="center" wrapText="1"/>
    </xf>
    <xf numFmtId="164" fontId="0" fillId="2" borderId="8" xfId="0" applyNumberFormat="1" applyFill="1" applyBorder="1" applyAlignment="1">
      <alignment horizontal="center" vertical="center"/>
    </xf>
    <xf numFmtId="164" fontId="0" fillId="2" borderId="11" xfId="0" applyNumberFormat="1" applyFill="1" applyBorder="1" applyAlignment="1">
      <alignment horizontal="center" vertical="center"/>
    </xf>
    <xf numFmtId="0" fontId="17" fillId="8" borderId="9" xfId="0" applyFont="1" applyFill="1" applyBorder="1" applyAlignment="1">
      <alignment horizontal="center" vertical="center"/>
    </xf>
    <xf numFmtId="0" fontId="16" fillId="8" borderId="9" xfId="0" applyFont="1" applyFill="1" applyBorder="1" applyAlignment="1">
      <alignment horizontal="left" vertical="center" wrapText="1"/>
    </xf>
    <xf numFmtId="164" fontId="0" fillId="8" borderId="9" xfId="0" applyNumberFormat="1" applyFill="1" applyBorder="1" applyAlignment="1">
      <alignment horizontal="center" vertical="center"/>
    </xf>
    <xf numFmtId="0" fontId="17" fillId="2" borderId="9" xfId="0" applyFont="1" applyFill="1" applyBorder="1" applyAlignment="1">
      <alignment horizontal="center" vertical="center"/>
    </xf>
    <xf numFmtId="0" fontId="16" fillId="2" borderId="9" xfId="0" applyFont="1" applyFill="1" applyBorder="1" applyAlignment="1">
      <alignment horizontal="left" vertical="center" wrapText="1"/>
    </xf>
    <xf numFmtId="164" fontId="0" fillId="2" borderId="9" xfId="0" applyNumberFormat="1" applyFill="1" applyBorder="1" applyAlignment="1">
      <alignment horizontal="center" vertical="center"/>
    </xf>
    <xf numFmtId="0" fontId="16" fillId="2" borderId="8" xfId="0" applyFont="1" applyFill="1" applyBorder="1" applyAlignment="1">
      <alignment horizontal="left" vertical="center"/>
    </xf>
    <xf numFmtId="0" fontId="16" fillId="2" borderId="11" xfId="0" applyFont="1" applyFill="1" applyBorder="1" applyAlignment="1">
      <alignment horizontal="left" vertical="center"/>
    </xf>
    <xf numFmtId="0" fontId="16" fillId="8" borderId="8" xfId="0" applyFont="1" applyFill="1" applyBorder="1" applyAlignment="1">
      <alignment horizontal="left" vertical="center"/>
    </xf>
    <xf numFmtId="0" fontId="16" fillId="8" borderId="11" xfId="0" applyFont="1" applyFill="1" applyBorder="1" applyAlignment="1">
      <alignment horizontal="left" vertical="center"/>
    </xf>
    <xf numFmtId="0" fontId="0" fillId="3" borderId="1" xfId="0" applyFill="1" applyBorder="1" applyAlignment="1">
      <alignment horizontal="center" vertical="center"/>
    </xf>
    <xf numFmtId="0" fontId="5" fillId="6" borderId="2" xfId="0" applyFont="1" applyFill="1" applyBorder="1" applyAlignment="1">
      <alignment horizontal="center"/>
    </xf>
    <xf numFmtId="0" fontId="5" fillId="6" borderId="3" xfId="0" applyFont="1" applyFill="1" applyBorder="1" applyAlignment="1">
      <alignment horizontal="center"/>
    </xf>
    <xf numFmtId="2" fontId="0" fillId="3" borderId="1" xfId="0" applyNumberFormat="1" applyFill="1" applyBorder="1" applyAlignment="1">
      <alignment horizontal="center" vertical="center"/>
    </xf>
    <xf numFmtId="0" fontId="5" fillId="4" borderId="2"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0" fillId="0" borderId="0" xfId="0" applyAlignment="1">
      <alignment horizontal="left" wrapText="1"/>
    </xf>
    <xf numFmtId="0" fontId="0" fillId="17" borderId="8" xfId="0" applyFill="1" applyBorder="1" applyAlignment="1">
      <alignment horizontal="center" vertical="center"/>
    </xf>
    <xf numFmtId="0" fontId="0" fillId="17" borderId="9" xfId="0" applyFill="1" applyBorder="1" applyAlignment="1">
      <alignment horizontal="center" vertical="center"/>
    </xf>
    <xf numFmtId="0" fontId="0" fillId="17" borderId="11" xfId="0" applyFill="1" applyBorder="1" applyAlignment="1">
      <alignment horizontal="center" vertical="center"/>
    </xf>
    <xf numFmtId="0" fontId="0" fillId="13" borderId="8" xfId="0" applyFill="1" applyBorder="1" applyAlignment="1">
      <alignment horizontal="center" vertical="center"/>
    </xf>
    <xf numFmtId="0" fontId="0" fillId="13" borderId="9" xfId="0" applyFill="1" applyBorder="1" applyAlignment="1">
      <alignment horizontal="center" vertical="center"/>
    </xf>
    <xf numFmtId="0" fontId="0" fillId="13" borderId="11" xfId="0" applyFill="1" applyBorder="1" applyAlignment="1">
      <alignment horizontal="center" vertical="center"/>
    </xf>
    <xf numFmtId="0" fontId="0" fillId="16" borderId="8" xfId="0" applyFill="1" applyBorder="1" applyAlignment="1">
      <alignment horizontal="center" vertical="center"/>
    </xf>
    <xf numFmtId="0" fontId="0" fillId="16" borderId="9" xfId="0" applyFill="1" applyBorder="1" applyAlignment="1">
      <alignment horizontal="center" vertical="center"/>
    </xf>
    <xf numFmtId="0" fontId="0" fillId="16" borderId="11" xfId="0" applyFill="1" applyBorder="1" applyAlignment="1">
      <alignment horizontal="center" vertical="center"/>
    </xf>
    <xf numFmtId="0" fontId="0" fillId="9" borderId="8" xfId="0" applyFill="1" applyBorder="1" applyAlignment="1">
      <alignment horizontal="center" vertical="center"/>
    </xf>
    <xf numFmtId="0" fontId="0" fillId="9" borderId="9" xfId="0" applyFill="1" applyBorder="1" applyAlignment="1">
      <alignment horizontal="center" vertical="center"/>
    </xf>
    <xf numFmtId="0" fontId="0" fillId="9" borderId="11"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0" fillId="8" borderId="11" xfId="0" applyFill="1" applyBorder="1" applyAlignment="1">
      <alignment horizontal="center" vertical="center"/>
    </xf>
    <xf numFmtId="0" fontId="0" fillId="10" borderId="1" xfId="0" applyFill="1" applyBorder="1" applyAlignment="1">
      <alignment horizontal="center" vertical="center"/>
    </xf>
    <xf numFmtId="0" fontId="0" fillId="15" borderId="8" xfId="0" applyFill="1" applyBorder="1" applyAlignment="1">
      <alignment horizontal="center" vertical="center"/>
    </xf>
    <xf numFmtId="0" fontId="0" fillId="15" borderId="9" xfId="0" applyFill="1" applyBorder="1" applyAlignment="1">
      <alignment horizontal="center" vertical="center"/>
    </xf>
    <xf numFmtId="0" fontId="0" fillId="15" borderId="11"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11" xfId="0" applyFill="1" applyBorder="1" applyAlignment="1">
      <alignment horizontal="center" vertical="center"/>
    </xf>
    <xf numFmtId="0" fontId="0" fillId="14" borderId="8" xfId="0" applyFill="1" applyBorder="1" applyAlignment="1">
      <alignment horizontal="center" vertical="center"/>
    </xf>
    <xf numFmtId="0" fontId="0" fillId="14" borderId="9" xfId="0" applyFill="1" applyBorder="1" applyAlignment="1">
      <alignment horizontal="center" vertical="center"/>
    </xf>
    <xf numFmtId="0" fontId="0" fillId="14" borderId="11" xfId="0" applyFill="1" applyBorder="1" applyAlignment="1">
      <alignment horizontal="center" vertical="center"/>
    </xf>
    <xf numFmtId="0" fontId="0" fillId="12" borderId="8" xfId="0" applyNumberFormat="1" applyFill="1" applyBorder="1" applyAlignment="1">
      <alignment horizontal="center" vertical="center"/>
    </xf>
    <xf numFmtId="0" fontId="0" fillId="12" borderId="9" xfId="0" applyNumberFormat="1" applyFill="1" applyBorder="1" applyAlignment="1">
      <alignment horizontal="center" vertical="center"/>
    </xf>
    <xf numFmtId="0" fontId="0" fillId="10" borderId="8" xfId="0" applyNumberFormat="1" applyFill="1" applyBorder="1" applyAlignment="1">
      <alignment horizontal="center" vertical="center"/>
    </xf>
    <xf numFmtId="0" fontId="0" fillId="10" borderId="9" xfId="0" applyNumberFormat="1" applyFill="1" applyBorder="1" applyAlignment="1">
      <alignment horizontal="center" vertical="center"/>
    </xf>
    <xf numFmtId="0" fontId="0" fillId="11" borderId="8" xfId="0" applyNumberFormat="1" applyFill="1" applyBorder="1" applyAlignment="1">
      <alignment horizontal="center" vertical="center"/>
    </xf>
    <xf numFmtId="0" fontId="0" fillId="11" borderId="9" xfId="0" applyNumberFormat="1" applyFill="1" applyBorder="1" applyAlignment="1">
      <alignment horizontal="center" vertical="center"/>
    </xf>
    <xf numFmtId="0" fontId="0" fillId="9" borderId="8" xfId="0" applyNumberFormat="1" applyFill="1" applyBorder="1" applyAlignment="1">
      <alignment horizontal="center" vertical="center"/>
    </xf>
    <xf numFmtId="0" fontId="0" fillId="9" borderId="9" xfId="0" applyNumberFormat="1" applyFill="1" applyBorder="1" applyAlignment="1">
      <alignment horizontal="center" vertical="center"/>
    </xf>
    <xf numFmtId="0" fontId="0" fillId="2" borderId="8" xfId="0" applyNumberFormat="1" applyFill="1" applyBorder="1" applyAlignment="1">
      <alignment horizontal="center" vertical="center"/>
    </xf>
    <xf numFmtId="0" fontId="0" fillId="2" borderId="9" xfId="0" applyNumberFormat="1" applyFill="1" applyBorder="1" applyAlignment="1">
      <alignment horizontal="center" vertical="center"/>
    </xf>
    <xf numFmtId="0" fontId="0" fillId="2" borderId="11" xfId="0" applyNumberFormat="1" applyFill="1" applyBorder="1" applyAlignment="1">
      <alignment horizontal="center" vertical="center"/>
    </xf>
    <xf numFmtId="4" fontId="0" fillId="2" borderId="8" xfId="0" applyNumberFormat="1" applyFill="1" applyBorder="1" applyAlignment="1">
      <alignment horizontal="center" vertical="center"/>
    </xf>
    <xf numFmtId="4" fontId="0" fillId="2" borderId="9" xfId="0" applyNumberFormat="1" applyFill="1" applyBorder="1" applyAlignment="1">
      <alignment horizontal="center" vertical="center"/>
    </xf>
    <xf numFmtId="4" fontId="0" fillId="2" borderId="11" xfId="0" applyNumberFormat="1" applyFill="1" applyBorder="1" applyAlignment="1">
      <alignment horizontal="center" vertical="center"/>
    </xf>
    <xf numFmtId="0" fontId="0" fillId="2" borderId="8" xfId="0" applyNumberFormat="1" applyFill="1" applyBorder="1" applyAlignment="1">
      <alignment horizontal="center"/>
    </xf>
    <xf numFmtId="0" fontId="0" fillId="2" borderId="9" xfId="0" applyNumberFormat="1" applyFill="1" applyBorder="1" applyAlignment="1">
      <alignment horizontal="center"/>
    </xf>
    <xf numFmtId="0" fontId="0" fillId="2" borderId="11" xfId="0" applyNumberFormat="1" applyFill="1" applyBorder="1" applyAlignment="1">
      <alignment horizontal="center"/>
    </xf>
    <xf numFmtId="0" fontId="0" fillId="12" borderId="11" xfId="0" applyNumberFormat="1" applyFill="1" applyBorder="1" applyAlignment="1">
      <alignment horizontal="center" vertical="center"/>
    </xf>
    <xf numFmtId="0" fontId="0" fillId="10" borderId="11" xfId="0" applyNumberFormat="1" applyFill="1" applyBorder="1" applyAlignment="1">
      <alignment horizontal="center" vertical="center"/>
    </xf>
    <xf numFmtId="0" fontId="0" fillId="9" borderId="11" xfId="0" applyNumberFormat="1" applyFill="1" applyBorder="1" applyAlignment="1">
      <alignment horizontal="center" vertical="center"/>
    </xf>
    <xf numFmtId="0" fontId="0" fillId="11" borderId="11" xfId="0" applyNumberFormat="1" applyFill="1" applyBorder="1" applyAlignment="1">
      <alignment horizontal="center" vertical="center"/>
    </xf>
    <xf numFmtId="0" fontId="0" fillId="3" borderId="1" xfId="0" applyFill="1" applyBorder="1" applyAlignment="1">
      <alignment horizontal="center"/>
    </xf>
    <xf numFmtId="0" fontId="0" fillId="8" borderId="2" xfId="0" applyFill="1" applyBorder="1" applyAlignment="1">
      <alignment horizontal="center"/>
    </xf>
    <xf numFmtId="0" fontId="0" fillId="8" borderId="10" xfId="0" applyFill="1" applyBorder="1" applyAlignment="1">
      <alignment horizontal="center"/>
    </xf>
    <xf numFmtId="0" fontId="0" fillId="8" borderId="3" xfId="0" applyFill="1" applyBorder="1" applyAlignment="1">
      <alignment horizontal="center"/>
    </xf>
    <xf numFmtId="0" fontId="0" fillId="9" borderId="2" xfId="0" applyFill="1" applyBorder="1" applyAlignment="1">
      <alignment horizontal="center"/>
    </xf>
    <xf numFmtId="0" fontId="0" fillId="9" borderId="10" xfId="0" applyFill="1" applyBorder="1" applyAlignment="1">
      <alignment horizontal="center"/>
    </xf>
    <xf numFmtId="0" fontId="0" fillId="9" borderId="3" xfId="0" applyFill="1" applyBorder="1" applyAlignment="1">
      <alignment horizontal="center"/>
    </xf>
    <xf numFmtId="0" fontId="0" fillId="15" borderId="2" xfId="0" applyFill="1" applyBorder="1" applyAlignment="1">
      <alignment horizontal="center"/>
    </xf>
    <xf numFmtId="0" fontId="0" fillId="15" borderId="10" xfId="0" applyFill="1" applyBorder="1" applyAlignment="1">
      <alignment horizontal="center"/>
    </xf>
    <xf numFmtId="0" fontId="0" fillId="15" borderId="3" xfId="0" applyFill="1" applyBorder="1" applyAlignment="1">
      <alignment horizontal="center"/>
    </xf>
    <xf numFmtId="0" fontId="0" fillId="16" borderId="2" xfId="0" applyFill="1" applyBorder="1" applyAlignment="1">
      <alignment horizontal="center"/>
    </xf>
    <xf numFmtId="0" fontId="0" fillId="16" borderId="10" xfId="0" applyFill="1" applyBorder="1" applyAlignment="1">
      <alignment horizontal="center"/>
    </xf>
    <xf numFmtId="0" fontId="0" fillId="16" borderId="3" xfId="0" applyFill="1" applyBorder="1" applyAlignment="1">
      <alignment horizontal="center"/>
    </xf>
    <xf numFmtId="0" fontId="0" fillId="10" borderId="2" xfId="0" applyFill="1" applyBorder="1" applyAlignment="1">
      <alignment horizontal="center"/>
    </xf>
    <xf numFmtId="0" fontId="0" fillId="10" borderId="10" xfId="0" applyFill="1" applyBorder="1" applyAlignment="1">
      <alignment horizontal="center"/>
    </xf>
    <xf numFmtId="0" fontId="0" fillId="10" borderId="3" xfId="0" applyFill="1" applyBorder="1" applyAlignment="1">
      <alignment horizontal="center"/>
    </xf>
    <xf numFmtId="0" fontId="0" fillId="10" borderId="1" xfId="0" applyFill="1" applyBorder="1" applyAlignment="1">
      <alignment horizontal="center"/>
    </xf>
    <xf numFmtId="0" fontId="0" fillId="3" borderId="2" xfId="0" applyFill="1" applyBorder="1" applyAlignment="1">
      <alignment horizontal="center"/>
    </xf>
    <xf numFmtId="0" fontId="0" fillId="3" borderId="10" xfId="0" applyFill="1" applyBorder="1" applyAlignment="1">
      <alignment horizontal="center"/>
    </xf>
    <xf numFmtId="0" fontId="0" fillId="3" borderId="3" xfId="0" applyFill="1" applyBorder="1" applyAlignment="1">
      <alignment horizontal="center"/>
    </xf>
    <xf numFmtId="0" fontId="0" fillId="10" borderId="2" xfId="0" applyNumberFormat="1" applyFill="1" applyBorder="1" applyAlignment="1">
      <alignment horizontal="center" vertical="center"/>
    </xf>
    <xf numFmtId="0" fontId="0" fillId="10" borderId="10" xfId="0" applyNumberFormat="1" applyFill="1" applyBorder="1" applyAlignment="1">
      <alignment horizontal="center" vertical="center"/>
    </xf>
    <xf numFmtId="0" fontId="0" fillId="10" borderId="3" xfId="0" applyNumberFormat="1" applyFill="1" applyBorder="1" applyAlignment="1">
      <alignment horizontal="center" vertical="center"/>
    </xf>
    <xf numFmtId="0" fontId="5" fillId="8" borderId="2" xfId="0" applyFont="1" applyFill="1" applyBorder="1" applyAlignment="1">
      <alignment horizontal="center"/>
    </xf>
    <xf numFmtId="0" fontId="5" fillId="8" borderId="10" xfId="0" applyFont="1" applyFill="1" applyBorder="1" applyAlignment="1">
      <alignment horizontal="center"/>
    </xf>
    <xf numFmtId="0" fontId="5" fillId="8" borderId="3" xfId="0" applyFont="1" applyFill="1" applyBorder="1" applyAlignment="1">
      <alignment horizontal="center"/>
    </xf>
    <xf numFmtId="0" fontId="5" fillId="9" borderId="2" xfId="0" applyFont="1" applyFill="1" applyBorder="1" applyAlignment="1">
      <alignment horizontal="center"/>
    </xf>
    <xf numFmtId="0" fontId="5" fillId="9" borderId="10" xfId="0" applyFont="1" applyFill="1" applyBorder="1" applyAlignment="1">
      <alignment horizontal="center"/>
    </xf>
    <xf numFmtId="0" fontId="5" fillId="9" borderId="3" xfId="0" applyFont="1" applyFill="1" applyBorder="1" applyAlignment="1">
      <alignment horizontal="center"/>
    </xf>
    <xf numFmtId="0" fontId="5" fillId="10" borderId="1" xfId="0" applyFont="1" applyFill="1" applyBorder="1" applyAlignment="1">
      <alignment horizontal="center"/>
    </xf>
    <xf numFmtId="0" fontId="0" fillId="14" borderId="2" xfId="0" applyFill="1" applyBorder="1" applyAlignment="1">
      <alignment horizontal="center"/>
    </xf>
    <xf numFmtId="0" fontId="0" fillId="14" borderId="10" xfId="0" applyFill="1" applyBorder="1" applyAlignment="1">
      <alignment horizontal="center"/>
    </xf>
    <xf numFmtId="0" fontId="0" fillId="14" borderId="3" xfId="0" applyFill="1" applyBorder="1" applyAlignment="1">
      <alignment horizontal="center"/>
    </xf>
    <xf numFmtId="0" fontId="0" fillId="4" borderId="2" xfId="0" applyFill="1" applyBorder="1" applyAlignment="1">
      <alignment horizontal="center"/>
    </xf>
    <xf numFmtId="0" fontId="0" fillId="4" borderId="10" xfId="0" applyFill="1" applyBorder="1" applyAlignment="1">
      <alignment horizontal="center"/>
    </xf>
    <xf numFmtId="0" fontId="0" fillId="4" borderId="3" xfId="0" applyFill="1" applyBorder="1" applyAlignment="1">
      <alignment horizontal="center"/>
    </xf>
    <xf numFmtId="0" fontId="0" fillId="12" borderId="2" xfId="0" applyFill="1" applyBorder="1" applyAlignment="1">
      <alignment horizontal="center"/>
    </xf>
    <xf numFmtId="0" fontId="0" fillId="12" borderId="10" xfId="0" applyFill="1" applyBorder="1" applyAlignment="1">
      <alignment horizontal="center"/>
    </xf>
    <xf numFmtId="0" fontId="0" fillId="12" borderId="3" xfId="0" applyFill="1" applyBorder="1" applyAlignment="1">
      <alignment horizontal="center"/>
    </xf>
    <xf numFmtId="0" fontId="0" fillId="12" borderId="2" xfId="0" applyNumberFormat="1" applyFill="1" applyBorder="1" applyAlignment="1">
      <alignment horizontal="center" vertical="center"/>
    </xf>
    <xf numFmtId="0" fontId="0" fillId="12" borderId="3" xfId="0" applyNumberFormat="1" applyFill="1" applyBorder="1" applyAlignment="1">
      <alignment horizontal="center" vertical="center"/>
    </xf>
    <xf numFmtId="0" fontId="0" fillId="12" borderId="10" xfId="0" applyNumberFormat="1" applyFill="1" applyBorder="1" applyAlignment="1">
      <alignment horizontal="center" vertical="center"/>
    </xf>
    <xf numFmtId="0" fontId="0" fillId="13" borderId="2" xfId="0" applyFill="1" applyBorder="1" applyAlignment="1">
      <alignment horizontal="center"/>
    </xf>
    <xf numFmtId="0" fontId="0" fillId="13" borderId="10" xfId="0" applyFill="1" applyBorder="1" applyAlignment="1">
      <alignment horizontal="center"/>
    </xf>
    <xf numFmtId="0" fontId="0" fillId="13" borderId="3" xfId="0" applyFill="1" applyBorder="1" applyAlignment="1">
      <alignment horizontal="center"/>
    </xf>
    <xf numFmtId="0" fontId="0" fillId="17" borderId="2" xfId="0" applyFill="1" applyBorder="1" applyAlignment="1">
      <alignment horizontal="center"/>
    </xf>
    <xf numFmtId="0" fontId="0" fillId="17" borderId="10" xfId="0" applyFill="1" applyBorder="1" applyAlignment="1">
      <alignment horizontal="center"/>
    </xf>
    <xf numFmtId="0" fontId="0" fillId="17" borderId="3" xfId="0" applyFill="1" applyBorder="1" applyAlignment="1">
      <alignment horizontal="center"/>
    </xf>
    <xf numFmtId="0" fontId="5" fillId="3" borderId="1" xfId="0" applyFont="1" applyFill="1" applyBorder="1" applyAlignment="1">
      <alignment horizontal="center"/>
    </xf>
    <xf numFmtId="0" fontId="5" fillId="2" borderId="2" xfId="0" applyNumberFormat="1" applyFont="1" applyFill="1" applyBorder="1" applyAlignment="1">
      <alignment horizontal="center"/>
    </xf>
    <xf numFmtId="0" fontId="5" fillId="2" borderId="10" xfId="0" applyNumberFormat="1" applyFont="1" applyFill="1" applyBorder="1" applyAlignment="1">
      <alignment horizontal="center"/>
    </xf>
    <xf numFmtId="0" fontId="5" fillId="2" borderId="3" xfId="0" applyNumberFormat="1" applyFont="1" applyFill="1" applyBorder="1" applyAlignment="1">
      <alignment horizontal="center"/>
    </xf>
    <xf numFmtId="0" fontId="5" fillId="2" borderId="1" xfId="0" applyFont="1" applyFill="1" applyBorder="1" applyAlignment="1">
      <alignment horizontal="center"/>
    </xf>
    <xf numFmtId="0" fontId="0" fillId="9" borderId="2" xfId="0" applyNumberFormat="1" applyFill="1" applyBorder="1" applyAlignment="1">
      <alignment horizontal="center"/>
    </xf>
    <xf numFmtId="0" fontId="0" fillId="9" borderId="10" xfId="0" applyNumberFormat="1" applyFill="1" applyBorder="1" applyAlignment="1">
      <alignment horizontal="center"/>
    </xf>
    <xf numFmtId="0" fontId="0" fillId="9" borderId="3" xfId="0" applyNumberFormat="1" applyFill="1" applyBorder="1" applyAlignment="1">
      <alignment horizontal="center"/>
    </xf>
    <xf numFmtId="0" fontId="0" fillId="9" borderId="2" xfId="0" applyNumberFormat="1" applyFill="1" applyBorder="1" applyAlignment="1">
      <alignment horizontal="center" vertical="center"/>
    </xf>
    <xf numFmtId="0" fontId="0" fillId="9" borderId="3" xfId="0" applyNumberFormat="1" applyFill="1" applyBorder="1" applyAlignment="1">
      <alignment horizontal="center" vertical="center"/>
    </xf>
    <xf numFmtId="0" fontId="0" fillId="9" borderId="10" xfId="0" applyNumberFormat="1" applyFill="1" applyBorder="1" applyAlignment="1">
      <alignment horizontal="center" vertical="center"/>
    </xf>
    <xf numFmtId="0" fontId="7" fillId="0" borderId="2" xfId="0" applyFont="1" applyBorder="1" applyAlignment="1">
      <alignment horizontal="center"/>
    </xf>
    <xf numFmtId="0" fontId="7" fillId="0" borderId="10" xfId="0" applyFont="1" applyBorder="1" applyAlignment="1">
      <alignment horizontal="center"/>
    </xf>
    <xf numFmtId="0" fontId="7" fillId="0" borderId="3" xfId="0" applyFont="1" applyBorder="1" applyAlignment="1">
      <alignment horizontal="center"/>
    </xf>
    <xf numFmtId="0" fontId="7" fillId="0" borderId="1" xfId="0" applyFont="1" applyBorder="1" applyAlignment="1">
      <alignment horizontal="center"/>
    </xf>
    <xf numFmtId="0" fontId="7" fillId="7" borderId="2" xfId="0" applyFont="1" applyFill="1" applyBorder="1" applyAlignment="1">
      <alignment horizontal="center"/>
    </xf>
    <xf numFmtId="0" fontId="7" fillId="7" borderId="10" xfId="0" applyFont="1" applyFill="1" applyBorder="1" applyAlignment="1">
      <alignment horizontal="center"/>
    </xf>
    <xf numFmtId="0" fontId="7" fillId="7" borderId="3" xfId="0" applyFont="1" applyFill="1" applyBorder="1" applyAlignment="1">
      <alignment horizontal="center"/>
    </xf>
    <xf numFmtId="0" fontId="0" fillId="11" borderId="2" xfId="0" applyFill="1" applyBorder="1" applyAlignment="1">
      <alignment horizontal="center"/>
    </xf>
    <xf numFmtId="0" fontId="0" fillId="11" borderId="10" xfId="0" applyFill="1" applyBorder="1" applyAlignment="1">
      <alignment horizontal="center"/>
    </xf>
    <xf numFmtId="0" fontId="0" fillId="11" borderId="3" xfId="0" applyFill="1" applyBorder="1" applyAlignment="1">
      <alignment horizontal="center"/>
    </xf>
    <xf numFmtId="0" fontId="0" fillId="11" borderId="2" xfId="0" applyNumberFormat="1" applyFill="1" applyBorder="1" applyAlignment="1">
      <alignment horizontal="center" vertical="center"/>
    </xf>
    <xf numFmtId="0" fontId="0" fillId="11" borderId="3" xfId="0" applyNumberFormat="1" applyFill="1" applyBorder="1" applyAlignment="1">
      <alignment horizontal="center" vertical="center"/>
    </xf>
    <xf numFmtId="0" fontId="0" fillId="11" borderId="10" xfId="0" applyNumberFormat="1" applyFill="1" applyBorder="1" applyAlignment="1">
      <alignment horizontal="center" vertical="center"/>
    </xf>
    <xf numFmtId="0" fontId="5" fillId="0" borderId="1" xfId="0" applyFont="1"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xf>
    <xf numFmtId="0" fontId="0" fillId="0" borderId="10" xfId="0" applyBorder="1" applyAlignment="1">
      <alignment horizontal="center" vertical="center" wrapText="1"/>
    </xf>
    <xf numFmtId="0" fontId="21" fillId="20" borderId="0" xfId="0" applyFont="1" applyFill="1" applyAlignment="1">
      <alignment horizontal="left" wrapText="1"/>
    </xf>
    <xf numFmtId="0" fontId="7" fillId="5" borderId="2" xfId="0" applyFont="1" applyFill="1" applyBorder="1" applyAlignment="1">
      <alignment horizontal="left"/>
    </xf>
    <xf numFmtId="0" fontId="7" fillId="5" borderId="3" xfId="0" applyFont="1" applyFill="1" applyBorder="1" applyAlignment="1">
      <alignment horizontal="left"/>
    </xf>
    <xf numFmtId="0" fontId="7" fillId="0" borderId="2" xfId="0" applyFont="1" applyFill="1" applyBorder="1" applyAlignment="1">
      <alignment horizontal="left"/>
    </xf>
    <xf numFmtId="0" fontId="7" fillId="0" borderId="3" xfId="0" applyFont="1" applyFill="1" applyBorder="1" applyAlignment="1">
      <alignment horizontal="left"/>
    </xf>
    <xf numFmtId="0" fontId="23" fillId="0" borderId="1" xfId="0" applyFont="1" applyFill="1" applyBorder="1" applyAlignment="1">
      <alignment horizontal="center"/>
    </xf>
    <xf numFmtId="0" fontId="5" fillId="5" borderId="2" xfId="0" applyFont="1" applyFill="1" applyBorder="1" applyAlignment="1">
      <alignment horizontal="left"/>
    </xf>
    <xf numFmtId="0" fontId="5" fillId="5" borderId="3" xfId="0" applyFont="1" applyFill="1" applyBorder="1" applyAlignment="1">
      <alignment horizontal="left"/>
    </xf>
    <xf numFmtId="0" fontId="7" fillId="21" borderId="1" xfId="0" applyFont="1" applyFill="1" applyBorder="1" applyAlignment="1">
      <alignment horizontal="center"/>
    </xf>
    <xf numFmtId="0" fontId="5" fillId="4" borderId="1" xfId="0" applyFont="1" applyFill="1" applyBorder="1" applyAlignment="1">
      <alignment horizontal="center"/>
    </xf>
    <xf numFmtId="0" fontId="5" fillId="13" borderId="1" xfId="0" applyFont="1" applyFill="1" applyBorder="1" applyAlignment="1">
      <alignment horizontal="center" vertical="center" wrapText="1"/>
    </xf>
    <xf numFmtId="0" fontId="0" fillId="0" borderId="0" xfId="0" applyFill="1" applyBorder="1" applyAlignment="1">
      <alignment horizontal="center"/>
    </xf>
    <xf numFmtId="0" fontId="0" fillId="4" borderId="1" xfId="0" applyFill="1" applyBorder="1" applyAlignment="1">
      <alignment horizontal="center"/>
    </xf>
    <xf numFmtId="0" fontId="0" fillId="5" borderId="28" xfId="0" applyFill="1" applyBorder="1" applyAlignment="1">
      <alignment horizontal="center"/>
    </xf>
    <xf numFmtId="0" fontId="0" fillId="5" borderId="30" xfId="0" applyFill="1" applyBorder="1" applyAlignment="1">
      <alignment horizontal="center"/>
    </xf>
    <xf numFmtId="0" fontId="0" fillId="5" borderId="40" xfId="0" applyFill="1" applyBorder="1" applyAlignment="1">
      <alignment horizontal="center"/>
    </xf>
    <xf numFmtId="0" fontId="0" fillId="5" borderId="41" xfId="0" applyFill="1" applyBorder="1" applyAlignment="1">
      <alignment horizontal="center"/>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28" fillId="0" borderId="0" xfId="0" applyFont="1" applyFill="1" applyAlignment="1">
      <alignment horizontal="center" vertical="center" wrapText="1"/>
    </xf>
    <xf numFmtId="0" fontId="28" fillId="0" borderId="0"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14" fillId="3" borderId="19" xfId="0" applyNumberFormat="1" applyFont="1" applyFill="1" applyBorder="1" applyAlignment="1">
      <alignment horizontal="left" vertical="center" wrapText="1"/>
    </xf>
    <xf numFmtId="0" fontId="14" fillId="3" borderId="20" xfId="0" applyNumberFormat="1" applyFont="1" applyFill="1" applyBorder="1" applyAlignment="1">
      <alignment horizontal="left" vertical="center" wrapText="1"/>
    </xf>
    <xf numFmtId="0" fontId="5" fillId="8" borderId="23" xfId="0" applyFont="1" applyFill="1" applyBorder="1" applyAlignment="1">
      <alignment horizontal="center"/>
    </xf>
    <xf numFmtId="0" fontId="5" fillId="8" borderId="24" xfId="0" applyFont="1" applyFill="1" applyBorder="1" applyAlignment="1">
      <alignment horizontal="center"/>
    </xf>
    <xf numFmtId="0" fontId="13" fillId="8" borderId="23" xfId="0" applyNumberFormat="1" applyFont="1" applyFill="1" applyBorder="1" applyAlignment="1">
      <alignment horizontal="left"/>
    </xf>
    <xf numFmtId="0" fontId="13" fillId="8" borderId="24" xfId="0" applyNumberFormat="1" applyFont="1" applyFill="1" applyBorder="1" applyAlignment="1">
      <alignment horizontal="left"/>
    </xf>
    <xf numFmtId="0" fontId="13" fillId="8" borderId="18" xfId="0" applyNumberFormat="1" applyFont="1" applyFill="1" applyBorder="1" applyAlignment="1">
      <alignment horizontal="left"/>
    </xf>
    <xf numFmtId="0" fontId="13" fillId="8" borderId="19" xfId="0" applyNumberFormat="1" applyFont="1" applyFill="1" applyBorder="1" applyAlignment="1">
      <alignment horizontal="left"/>
    </xf>
    <xf numFmtId="0" fontId="13" fillId="8" borderId="20" xfId="0" applyNumberFormat="1" applyFont="1" applyFill="1" applyBorder="1" applyAlignment="1">
      <alignment horizontal="left"/>
    </xf>
    <xf numFmtId="0" fontId="5" fillId="8" borderId="23" xfId="0" applyFont="1" applyFill="1" applyBorder="1" applyAlignment="1">
      <alignment horizontal="left"/>
    </xf>
    <xf numFmtId="0" fontId="5" fillId="8" borderId="24" xfId="0" applyFont="1" applyFill="1" applyBorder="1" applyAlignment="1">
      <alignment horizontal="left"/>
    </xf>
    <xf numFmtId="0" fontId="5" fillId="8" borderId="13" xfId="0" applyFont="1" applyFill="1" applyBorder="1" applyAlignment="1">
      <alignment horizontal="center"/>
    </xf>
    <xf numFmtId="0" fontId="5" fillId="8" borderId="14" xfId="0" applyFont="1" applyFill="1" applyBorder="1" applyAlignment="1">
      <alignment horizontal="center"/>
    </xf>
    <xf numFmtId="0" fontId="5" fillId="8" borderId="15" xfId="0" applyFont="1" applyFill="1" applyBorder="1" applyAlignment="1">
      <alignment horizontal="center"/>
    </xf>
    <xf numFmtId="0" fontId="5" fillId="8" borderId="13" xfId="0" applyFont="1" applyFill="1" applyBorder="1" applyAlignment="1">
      <alignment horizontal="left"/>
    </xf>
    <xf numFmtId="0" fontId="5" fillId="8" borderId="14" xfId="0" applyFont="1" applyFill="1" applyBorder="1" applyAlignment="1">
      <alignment horizontal="left"/>
    </xf>
    <xf numFmtId="0" fontId="5" fillId="8" borderId="18" xfId="0" applyFont="1" applyFill="1" applyBorder="1" applyAlignment="1">
      <alignment horizontal="left"/>
    </xf>
    <xf numFmtId="0" fontId="5" fillId="8" borderId="19" xfId="0" applyFont="1" applyFill="1" applyBorder="1" applyAlignment="1">
      <alignment horizontal="left"/>
    </xf>
    <xf numFmtId="0" fontId="5" fillId="8" borderId="28" xfId="0" applyFont="1" applyFill="1" applyBorder="1" applyAlignment="1">
      <alignment horizontal="left"/>
    </xf>
    <xf numFmtId="0" fontId="5" fillId="8" borderId="38" xfId="0" applyFont="1" applyFill="1" applyBorder="1" applyAlignment="1">
      <alignment horizontal="left"/>
    </xf>
    <xf numFmtId="0" fontId="5" fillId="8" borderId="29" xfId="0" applyFont="1" applyFill="1" applyBorder="1" applyAlignment="1">
      <alignment horizontal="left"/>
    </xf>
    <xf numFmtId="0" fontId="13" fillId="3" borderId="18" xfId="0" applyNumberFormat="1" applyFont="1" applyFill="1" applyBorder="1" applyAlignment="1">
      <alignment horizontal="left" vertical="center" wrapText="1"/>
    </xf>
    <xf numFmtId="0" fontId="13" fillId="3" borderId="19" xfId="0" applyNumberFormat="1" applyFont="1" applyFill="1" applyBorder="1" applyAlignment="1">
      <alignment horizontal="left" vertical="center" wrapText="1"/>
    </xf>
    <xf numFmtId="0" fontId="13" fillId="9" borderId="23" xfId="0" applyNumberFormat="1" applyFont="1" applyFill="1" applyBorder="1" applyAlignment="1">
      <alignment horizontal="left"/>
    </xf>
    <xf numFmtId="0" fontId="13" fillId="9" borderId="24" xfId="0" applyNumberFormat="1" applyFont="1" applyFill="1" applyBorder="1" applyAlignment="1">
      <alignment horizontal="left"/>
    </xf>
    <xf numFmtId="0" fontId="27" fillId="8" borderId="23" xfId="0" applyNumberFormat="1" applyFont="1" applyFill="1" applyBorder="1" applyAlignment="1">
      <alignment horizontal="left"/>
    </xf>
    <xf numFmtId="0" fontId="27" fillId="8" borderId="24" xfId="0" applyNumberFormat="1" applyFont="1" applyFill="1" applyBorder="1" applyAlignment="1">
      <alignment horizontal="left"/>
    </xf>
    <xf numFmtId="0" fontId="0" fillId="0" borderId="1" xfId="0" applyFill="1" applyBorder="1" applyAlignment="1">
      <alignment horizontal="center" vertical="center"/>
    </xf>
    <xf numFmtId="0" fontId="14" fillId="0" borderId="19" xfId="0" applyNumberFormat="1" applyFont="1" applyFill="1" applyBorder="1" applyAlignment="1">
      <alignment horizontal="left" vertical="center" wrapText="1"/>
    </xf>
    <xf numFmtId="0" fontId="14" fillId="0" borderId="20" xfId="0" applyNumberFormat="1" applyFont="1" applyFill="1" applyBorder="1" applyAlignment="1">
      <alignment horizontal="left" vertical="center" wrapText="1"/>
    </xf>
    <xf numFmtId="0" fontId="13" fillId="0" borderId="18" xfId="0" applyNumberFormat="1" applyFont="1" applyFill="1" applyBorder="1" applyAlignment="1">
      <alignment horizontal="left" vertical="center" wrapText="1"/>
    </xf>
    <xf numFmtId="0" fontId="13" fillId="0" borderId="19" xfId="0" applyNumberFormat="1" applyFont="1" applyFill="1" applyBorder="1" applyAlignment="1">
      <alignment horizontal="left" vertical="center" wrapText="1"/>
    </xf>
    <xf numFmtId="0" fontId="5" fillId="8" borderId="25" xfId="0" applyFont="1" applyFill="1" applyBorder="1" applyAlignment="1">
      <alignment horizontal="center"/>
    </xf>
    <xf numFmtId="0" fontId="5" fillId="8" borderId="16" xfId="0" applyFont="1" applyFill="1" applyBorder="1" applyAlignment="1">
      <alignment horizontal="left"/>
    </xf>
    <xf numFmtId="0" fontId="5" fillId="8" borderId="0" xfId="0" applyFont="1" applyFill="1" applyBorder="1" applyAlignment="1">
      <alignment horizontal="left"/>
    </xf>
  </cellXfs>
  <cellStyles count="3">
    <cellStyle name="Normal" xfId="0" builtinId="0"/>
    <cellStyle name="Normal 2" xfId="2"/>
    <cellStyle name="Porcentual" xfId="1" builtinId="5"/>
  </cellStyles>
  <dxfs count="0"/>
  <tableStyles count="0" defaultTableStyle="TableStyleMedium9" defaultPivotStyle="PivotStyleLight16"/>
  <colors>
    <mruColors>
      <color rgb="FFCDDF21"/>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Estimación</a:t>
            </a:r>
            <a:r>
              <a:rPr lang="es-ES" baseline="0"/>
              <a:t> de Potencia Horas Punta</a:t>
            </a:r>
            <a:endParaRPr lang="es-ES"/>
          </a:p>
        </c:rich>
      </c:tx>
    </c:title>
    <c:plotArea>
      <c:layout/>
      <c:scatterChart>
        <c:scatterStyle val="smoothMarker"/>
        <c:ser>
          <c:idx val="0"/>
          <c:order val="0"/>
          <c:tx>
            <c:strRef>
              <c:f>'ESTIMACIÓN DEM. DE POT MAXIMA'!$B$5:$C$5</c:f>
              <c:strCache>
                <c:ptCount val="1"/>
                <c:pt idx="0">
                  <c:v>Escenario Pesimista (2% Anual)</c:v>
                </c:pt>
              </c:strCache>
            </c:strRef>
          </c:tx>
          <c:marker>
            <c:symbol val="circle"/>
            <c:size val="5"/>
          </c:marker>
          <c:xVal>
            <c:numRef>
              <c:f>'ESTIMACIÓN DEM. DE POT MAXIMA'!$A$7:$A$37</c:f>
              <c:numCache>
                <c:formatCode>General</c:formatCode>
                <c:ptCount val="3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numCache>
            </c:numRef>
          </c:xVal>
          <c:yVal>
            <c:numRef>
              <c:f>'ESTIMACIÓN DEM. DE POT MAXIMA'!$B$7:$B$37</c:f>
              <c:numCache>
                <c:formatCode>0.000</c:formatCode>
                <c:ptCount val="31"/>
                <c:pt idx="0">
                  <c:v>1.8391999999999999</c:v>
                </c:pt>
                <c:pt idx="1">
                  <c:v>1.8759839999999999</c:v>
                </c:pt>
                <c:pt idx="2">
                  <c:v>1.9135036799999998</c:v>
                </c:pt>
                <c:pt idx="3">
                  <c:v>1.9517737535999997</c:v>
                </c:pt>
                <c:pt idx="4">
                  <c:v>1.9908092286719996</c:v>
                </c:pt>
                <c:pt idx="5">
                  <c:v>2.0306254132454398</c:v>
                </c:pt>
                <c:pt idx="6">
                  <c:v>2.0712379215103485</c:v>
                </c:pt>
                <c:pt idx="7">
                  <c:v>2.1126626799405552</c:v>
                </c:pt>
                <c:pt idx="8">
                  <c:v>2.1549159335393662</c:v>
                </c:pt>
                <c:pt idx="9">
                  <c:v>2.1980142522101533</c:v>
                </c:pt>
                <c:pt idx="10">
                  <c:v>2.2419745372543565</c:v>
                </c:pt>
                <c:pt idx="11">
                  <c:v>2.2868140279994438</c:v>
                </c:pt>
                <c:pt idx="12">
                  <c:v>2.3325503085594326</c:v>
                </c:pt>
                <c:pt idx="13">
                  <c:v>2.3792013147306212</c:v>
                </c:pt>
                <c:pt idx="14">
                  <c:v>2.4267853410252336</c:v>
                </c:pt>
                <c:pt idx="15">
                  <c:v>2.4753210478457381</c:v>
                </c:pt>
                <c:pt idx="16">
                  <c:v>2.5248274688026529</c:v>
                </c:pt>
                <c:pt idx="17">
                  <c:v>2.5753240181787058</c:v>
                </c:pt>
                <c:pt idx="18">
                  <c:v>2.6268304985422799</c:v>
                </c:pt>
                <c:pt idx="19">
                  <c:v>2.6793671085131257</c:v>
                </c:pt>
                <c:pt idx="20">
                  <c:v>2.7329544506833883</c:v>
                </c:pt>
                <c:pt idx="21">
                  <c:v>2.7876135396970558</c:v>
                </c:pt>
                <c:pt idx="22">
                  <c:v>2.8433658104909969</c:v>
                </c:pt>
                <c:pt idx="23">
                  <c:v>2.900233126700817</c:v>
                </c:pt>
                <c:pt idx="24">
                  <c:v>2.9582377892348335</c:v>
                </c:pt>
                <c:pt idx="25">
                  <c:v>3.0174025450195301</c:v>
                </c:pt>
                <c:pt idx="26">
                  <c:v>3.0777505959199205</c:v>
                </c:pt>
                <c:pt idx="27">
                  <c:v>3.139305607838319</c:v>
                </c:pt>
                <c:pt idx="28">
                  <c:v>3.2020917199950856</c:v>
                </c:pt>
                <c:pt idx="29">
                  <c:v>3.2661335543949872</c:v>
                </c:pt>
                <c:pt idx="30">
                  <c:v>3.3314562254828868</c:v>
                </c:pt>
              </c:numCache>
            </c:numRef>
          </c:yVal>
          <c:smooth val="1"/>
        </c:ser>
        <c:ser>
          <c:idx val="1"/>
          <c:order val="1"/>
          <c:tx>
            <c:strRef>
              <c:f>'ESTIMACIÓN DEM. DE POT MAXIMA'!$D$5:$E$5</c:f>
              <c:strCache>
                <c:ptCount val="1"/>
                <c:pt idx="0">
                  <c:v>Escenario Intermedio (4% Anual)</c:v>
                </c:pt>
              </c:strCache>
            </c:strRef>
          </c:tx>
          <c:marker>
            <c:symbol val="circle"/>
            <c:size val="7"/>
          </c:marker>
          <c:xVal>
            <c:numRef>
              <c:f>'ESTIMACIÓN DEM. DE POT MAXIMA'!$A$7:$A$37</c:f>
              <c:numCache>
                <c:formatCode>General</c:formatCode>
                <c:ptCount val="3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numCache>
            </c:numRef>
          </c:xVal>
          <c:yVal>
            <c:numRef>
              <c:f>'ESTIMACIÓN DEM. DE POT MAXIMA'!$D$7:$D$37</c:f>
              <c:numCache>
                <c:formatCode>0.000</c:formatCode>
                <c:ptCount val="31"/>
                <c:pt idx="0">
                  <c:v>1.8391999999999999</c:v>
                </c:pt>
                <c:pt idx="1">
                  <c:v>1.912768</c:v>
                </c:pt>
                <c:pt idx="2">
                  <c:v>1.9892787199999999</c:v>
                </c:pt>
                <c:pt idx="3">
                  <c:v>2.0688498688000001</c:v>
                </c:pt>
                <c:pt idx="4">
                  <c:v>2.1516038635520003</c:v>
                </c:pt>
                <c:pt idx="5">
                  <c:v>2.2376680180940802</c:v>
                </c:pt>
                <c:pt idx="6">
                  <c:v>2.3271747388178436</c:v>
                </c:pt>
                <c:pt idx="7">
                  <c:v>2.4202617283705572</c:v>
                </c:pt>
                <c:pt idx="8">
                  <c:v>2.5170721975053794</c:v>
                </c:pt>
                <c:pt idx="9">
                  <c:v>2.6177550854055944</c:v>
                </c:pt>
                <c:pt idx="10">
                  <c:v>2.7224652888218182</c:v>
                </c:pt>
                <c:pt idx="11">
                  <c:v>2.8313639003746909</c:v>
                </c:pt>
                <c:pt idx="12">
                  <c:v>2.9446184563896787</c:v>
                </c:pt>
                <c:pt idx="13">
                  <c:v>3.0624031946452659</c:v>
                </c:pt>
                <c:pt idx="14">
                  <c:v>3.1848993224310767</c:v>
                </c:pt>
                <c:pt idx="15">
                  <c:v>3.3122952953283198</c:v>
                </c:pt>
                <c:pt idx="16">
                  <c:v>3.4447871071414524</c:v>
                </c:pt>
                <c:pt idx="17">
                  <c:v>3.5825785914271107</c:v>
                </c:pt>
                <c:pt idx="18">
                  <c:v>3.7258817350841951</c:v>
                </c:pt>
                <c:pt idx="19">
                  <c:v>3.8749170044875627</c:v>
                </c:pt>
                <c:pt idx="20">
                  <c:v>4.0299136846670649</c:v>
                </c:pt>
                <c:pt idx="21">
                  <c:v>4.1911102320537479</c:v>
                </c:pt>
                <c:pt idx="22">
                  <c:v>4.3587546413358975</c:v>
                </c:pt>
                <c:pt idx="23">
                  <c:v>4.5331048269893337</c:v>
                </c:pt>
                <c:pt idx="24">
                  <c:v>4.7144290200689074</c:v>
                </c:pt>
                <c:pt idx="25">
                  <c:v>4.9030061808716638</c:v>
                </c:pt>
                <c:pt idx="26">
                  <c:v>5.0991264281065307</c:v>
                </c:pt>
                <c:pt idx="27">
                  <c:v>5.3030914852307918</c:v>
                </c:pt>
                <c:pt idx="28">
                  <c:v>5.515215144640023</c:v>
                </c:pt>
                <c:pt idx="29">
                  <c:v>5.7358237504256238</c:v>
                </c:pt>
                <c:pt idx="30">
                  <c:v>5.9652567004426489</c:v>
                </c:pt>
              </c:numCache>
            </c:numRef>
          </c:yVal>
          <c:smooth val="1"/>
        </c:ser>
        <c:ser>
          <c:idx val="2"/>
          <c:order val="2"/>
          <c:tx>
            <c:strRef>
              <c:f>'ESTIMACIÓN DEM. DE POT MAXIMA'!$F$5:$G$5</c:f>
              <c:strCache>
                <c:ptCount val="1"/>
                <c:pt idx="0">
                  <c:v>Escenario Optimista (6% Anual)</c:v>
                </c:pt>
              </c:strCache>
            </c:strRef>
          </c:tx>
          <c:marker>
            <c:symbol val="circle"/>
            <c:size val="7"/>
          </c:marker>
          <c:xVal>
            <c:numRef>
              <c:f>'ESTIMACIÓN DEM. DE POT MAXIMA'!$A$7:$A$37</c:f>
              <c:numCache>
                <c:formatCode>General</c:formatCode>
                <c:ptCount val="3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numCache>
            </c:numRef>
          </c:xVal>
          <c:yVal>
            <c:numRef>
              <c:f>'ESTIMACIÓN DEM. DE POT MAXIMA'!$F$7:$F$37</c:f>
              <c:numCache>
                <c:formatCode>0.000</c:formatCode>
                <c:ptCount val="31"/>
                <c:pt idx="0">
                  <c:v>1.8391999999999999</c:v>
                </c:pt>
                <c:pt idx="1">
                  <c:v>1.949552</c:v>
                </c:pt>
                <c:pt idx="2">
                  <c:v>2.0665251200000001</c:v>
                </c:pt>
                <c:pt idx="3">
                  <c:v>2.1905166272000001</c:v>
                </c:pt>
                <c:pt idx="4">
                  <c:v>2.3219476248320001</c:v>
                </c:pt>
                <c:pt idx="5">
                  <c:v>2.4612644823219201</c:v>
                </c:pt>
                <c:pt idx="6">
                  <c:v>2.6089403512612352</c:v>
                </c:pt>
                <c:pt idx="7">
                  <c:v>2.7654767723369096</c:v>
                </c:pt>
                <c:pt idx="8">
                  <c:v>2.9314053786771241</c:v>
                </c:pt>
                <c:pt idx="9">
                  <c:v>3.1072897013977516</c:v>
                </c:pt>
                <c:pt idx="10">
                  <c:v>3.2937270834816168</c:v>
                </c:pt>
                <c:pt idx="11">
                  <c:v>3.491350708490514</c:v>
                </c:pt>
                <c:pt idx="12">
                  <c:v>3.7008317509999449</c:v>
                </c:pt>
                <c:pt idx="13">
                  <c:v>3.9228816560599418</c:v>
                </c:pt>
                <c:pt idx="14">
                  <c:v>4.1582545554235386</c:v>
                </c:pt>
                <c:pt idx="15">
                  <c:v>4.4077498287489512</c:v>
                </c:pt>
                <c:pt idx="16">
                  <c:v>4.6722148184738881</c:v>
                </c:pt>
                <c:pt idx="17">
                  <c:v>4.9525477075823217</c:v>
                </c:pt>
                <c:pt idx="18">
                  <c:v>5.2497005700372608</c:v>
                </c:pt>
                <c:pt idx="19">
                  <c:v>5.5646826042394961</c:v>
                </c:pt>
                <c:pt idx="20">
                  <c:v>5.8985635604938658</c:v>
                </c:pt>
                <c:pt idx="21">
                  <c:v>6.2524773741234974</c:v>
                </c:pt>
                <c:pt idx="22">
                  <c:v>6.6276260165709076</c:v>
                </c:pt>
                <c:pt idx="23">
                  <c:v>7.0252835775651619</c:v>
                </c:pt>
                <c:pt idx="24">
                  <c:v>7.4468005922190716</c:v>
                </c:pt>
                <c:pt idx="25">
                  <c:v>7.8936086277522159</c:v>
                </c:pt>
                <c:pt idx="26">
                  <c:v>8.3672251454173487</c:v>
                </c:pt>
                <c:pt idx="27">
                  <c:v>8.8692586541423903</c:v>
                </c:pt>
                <c:pt idx="28">
                  <c:v>9.4014141733909344</c:v>
                </c:pt>
                <c:pt idx="29">
                  <c:v>9.9654990237943899</c:v>
                </c:pt>
                <c:pt idx="30">
                  <c:v>10.563428965222053</c:v>
                </c:pt>
              </c:numCache>
            </c:numRef>
          </c:yVal>
          <c:smooth val="1"/>
        </c:ser>
        <c:axId val="68496768"/>
        <c:axId val="68536192"/>
      </c:scatterChart>
      <c:valAx>
        <c:axId val="68496768"/>
        <c:scaling>
          <c:orientation val="minMax"/>
          <c:max val="2047"/>
          <c:min val="2017"/>
        </c:scaling>
        <c:axPos val="b"/>
        <c:title>
          <c:tx>
            <c:rich>
              <a:bodyPr/>
              <a:lstStyle/>
              <a:p>
                <a:pPr>
                  <a:defRPr/>
                </a:pPr>
                <a:r>
                  <a:rPr lang="es-ES" sz="1200">
                    <a:latin typeface="Arial" pitchFamily="34" charset="0"/>
                    <a:cs typeface="Arial" pitchFamily="34" charset="0"/>
                  </a:rPr>
                  <a:t>Años</a:t>
                </a:r>
              </a:p>
            </c:rich>
          </c:tx>
        </c:title>
        <c:numFmt formatCode="General" sourceLinked="1"/>
        <c:majorTickMark val="none"/>
        <c:tickLblPos val="nextTo"/>
        <c:crossAx val="68536192"/>
        <c:crosses val="autoZero"/>
        <c:crossBetween val="midCat"/>
        <c:majorUnit val="2"/>
        <c:minorUnit val="1"/>
      </c:valAx>
      <c:valAx>
        <c:axId val="68536192"/>
        <c:scaling>
          <c:orientation val="minMax"/>
        </c:scaling>
        <c:axPos val="l"/>
        <c:majorGridlines/>
        <c:title>
          <c:tx>
            <c:rich>
              <a:bodyPr/>
              <a:lstStyle/>
              <a:p>
                <a:pPr>
                  <a:defRPr/>
                </a:pPr>
                <a:r>
                  <a:rPr lang="es-ES" sz="1200">
                    <a:latin typeface="Arial" pitchFamily="34" charset="0"/>
                    <a:cs typeface="Arial" pitchFamily="34" charset="0"/>
                  </a:rPr>
                  <a:t>Potencia [MW]</a:t>
                </a:r>
              </a:p>
            </c:rich>
          </c:tx>
        </c:title>
        <c:numFmt formatCode="0.000" sourceLinked="1"/>
        <c:majorTickMark val="none"/>
        <c:tickLblPos val="nextTo"/>
        <c:crossAx val="68496768"/>
        <c:crosses val="autoZero"/>
        <c:crossBetween val="midCat"/>
      </c:valAx>
    </c:plotArea>
    <c:legend>
      <c:legendPos val="t"/>
    </c:legend>
    <c:plotVisOnly val="1"/>
  </c:chart>
  <c:printSettings>
    <c:headerFooter/>
    <c:pageMargins b="0.75000000000000577" l="0.70000000000000062" r="0.70000000000000062" t="0.750000000000005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sz="1600"/>
              <a:t>Estimación de Potencia Horas Fuera de Punta</a:t>
            </a:r>
          </a:p>
        </c:rich>
      </c:tx>
    </c:title>
    <c:plotArea>
      <c:layout/>
      <c:scatterChart>
        <c:scatterStyle val="smoothMarker"/>
        <c:ser>
          <c:idx val="0"/>
          <c:order val="0"/>
          <c:tx>
            <c:strRef>
              <c:f>'ESTIMACIÓN DEM. DE POT MAXIMA'!$B$5:$C$5</c:f>
              <c:strCache>
                <c:ptCount val="1"/>
                <c:pt idx="0">
                  <c:v>Escenario Pesimista (2% Anual)</c:v>
                </c:pt>
              </c:strCache>
            </c:strRef>
          </c:tx>
          <c:marker>
            <c:symbol val="circle"/>
            <c:size val="7"/>
          </c:marker>
          <c:xVal>
            <c:numRef>
              <c:f>'ESTIMACIÓN DEM. DE POT MAXIMA'!$A$7:$A$37</c:f>
              <c:numCache>
                <c:formatCode>General</c:formatCode>
                <c:ptCount val="3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numCache>
            </c:numRef>
          </c:xVal>
          <c:yVal>
            <c:numRef>
              <c:f>'ESTIMACIÓN DEM. DE POT MAXIMA'!$C$7:$C$37</c:f>
              <c:numCache>
                <c:formatCode>0.000</c:formatCode>
                <c:ptCount val="31"/>
                <c:pt idx="0">
                  <c:v>2.145</c:v>
                </c:pt>
                <c:pt idx="1">
                  <c:v>2.1879</c:v>
                </c:pt>
                <c:pt idx="2">
                  <c:v>2.2316579999999999</c:v>
                </c:pt>
                <c:pt idx="3">
                  <c:v>2.27629116</c:v>
                </c:pt>
                <c:pt idx="4">
                  <c:v>2.3218169832000002</c:v>
                </c:pt>
                <c:pt idx="5">
                  <c:v>2.3682533228640001</c:v>
                </c:pt>
                <c:pt idx="6">
                  <c:v>2.4156183893212804</c:v>
                </c:pt>
                <c:pt idx="7">
                  <c:v>2.4639307571077058</c:v>
                </c:pt>
                <c:pt idx="8">
                  <c:v>2.5132093722498601</c:v>
                </c:pt>
                <c:pt idx="9">
                  <c:v>2.5634735596948572</c:v>
                </c:pt>
                <c:pt idx="10">
                  <c:v>2.6147430308887545</c:v>
                </c:pt>
                <c:pt idx="11">
                  <c:v>2.6670378915065296</c:v>
                </c:pt>
                <c:pt idx="12">
                  <c:v>2.7203786493366602</c:v>
                </c:pt>
                <c:pt idx="13">
                  <c:v>2.7747862223233932</c:v>
                </c:pt>
                <c:pt idx="14">
                  <c:v>2.830281946769861</c:v>
                </c:pt>
                <c:pt idx="15">
                  <c:v>2.8868875857052583</c:v>
                </c:pt>
                <c:pt idx="16">
                  <c:v>2.9446253374193634</c:v>
                </c:pt>
                <c:pt idx="17">
                  <c:v>3.0035178441677508</c:v>
                </c:pt>
                <c:pt idx="18">
                  <c:v>3.0635882010511057</c:v>
                </c:pt>
                <c:pt idx="19">
                  <c:v>3.1248599650721278</c:v>
                </c:pt>
                <c:pt idx="20">
                  <c:v>3.1873571643735703</c:v>
                </c:pt>
                <c:pt idx="21">
                  <c:v>3.2511043076610417</c:v>
                </c:pt>
                <c:pt idx="22">
                  <c:v>3.3161263938142627</c:v>
                </c:pt>
                <c:pt idx="23">
                  <c:v>3.382448921690548</c:v>
                </c:pt>
                <c:pt idx="24">
                  <c:v>3.450097900124359</c:v>
                </c:pt>
                <c:pt idx="25">
                  <c:v>3.5190998581268462</c:v>
                </c:pt>
                <c:pt idx="26">
                  <c:v>3.589481855289383</c:v>
                </c:pt>
                <c:pt idx="27">
                  <c:v>3.6612714923951706</c:v>
                </c:pt>
                <c:pt idx="28">
                  <c:v>3.7344969222430739</c:v>
                </c:pt>
                <c:pt idx="29">
                  <c:v>3.8091868606879355</c:v>
                </c:pt>
                <c:pt idx="30">
                  <c:v>3.8853705979016944</c:v>
                </c:pt>
              </c:numCache>
            </c:numRef>
          </c:yVal>
          <c:smooth val="1"/>
        </c:ser>
        <c:ser>
          <c:idx val="1"/>
          <c:order val="1"/>
          <c:tx>
            <c:strRef>
              <c:f>'ESTIMACIÓN DEM. DE POT MAXIMA'!$D$5:$E$5</c:f>
              <c:strCache>
                <c:ptCount val="1"/>
                <c:pt idx="0">
                  <c:v>Escenario Intermedio (4% Anual)</c:v>
                </c:pt>
              </c:strCache>
            </c:strRef>
          </c:tx>
          <c:marker>
            <c:symbol val="circle"/>
            <c:size val="7"/>
          </c:marker>
          <c:xVal>
            <c:numRef>
              <c:f>'ESTIMACIÓN DEM. DE POT MAXIMA'!$A$7:$A$37</c:f>
              <c:numCache>
                <c:formatCode>General</c:formatCode>
                <c:ptCount val="3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numCache>
            </c:numRef>
          </c:xVal>
          <c:yVal>
            <c:numRef>
              <c:f>'ESTIMACIÓN DEM. DE POT MAXIMA'!$E$7:$E$37</c:f>
              <c:numCache>
                <c:formatCode>0.000</c:formatCode>
                <c:ptCount val="31"/>
                <c:pt idx="0">
                  <c:v>2.145</c:v>
                </c:pt>
                <c:pt idx="1">
                  <c:v>2.2307999999999999</c:v>
                </c:pt>
                <c:pt idx="2">
                  <c:v>2.3200319999999999</c:v>
                </c:pt>
                <c:pt idx="3">
                  <c:v>2.4128332800000001</c:v>
                </c:pt>
                <c:pt idx="4">
                  <c:v>2.5093466112000002</c:v>
                </c:pt>
                <c:pt idx="5">
                  <c:v>2.6097204756480004</c:v>
                </c:pt>
                <c:pt idx="6">
                  <c:v>2.7141092946739205</c:v>
                </c:pt>
                <c:pt idx="7">
                  <c:v>2.8226736664608771</c:v>
                </c:pt>
                <c:pt idx="8">
                  <c:v>2.9355806131193121</c:v>
                </c:pt>
                <c:pt idx="9">
                  <c:v>3.0530038376440847</c:v>
                </c:pt>
                <c:pt idx="10">
                  <c:v>3.1751239911498481</c:v>
                </c:pt>
                <c:pt idx="11">
                  <c:v>3.3021289507958422</c:v>
                </c:pt>
                <c:pt idx="12">
                  <c:v>3.4342141088276761</c:v>
                </c:pt>
                <c:pt idx="13">
                  <c:v>3.5715826731807829</c:v>
                </c:pt>
                <c:pt idx="14">
                  <c:v>3.7144459801080143</c:v>
                </c:pt>
                <c:pt idx="15">
                  <c:v>3.863023819312335</c:v>
                </c:pt>
                <c:pt idx="16">
                  <c:v>4.0175447720848281</c:v>
                </c:pt>
                <c:pt idx="17">
                  <c:v>4.1782465629682211</c:v>
                </c:pt>
                <c:pt idx="18">
                  <c:v>4.3453764254869496</c:v>
                </c:pt>
                <c:pt idx="19">
                  <c:v>4.5191914825064279</c:v>
                </c:pt>
                <c:pt idx="20">
                  <c:v>4.6999591418066853</c:v>
                </c:pt>
                <c:pt idx="21">
                  <c:v>4.8879575074789523</c:v>
                </c:pt>
                <c:pt idx="22">
                  <c:v>5.0834758077781101</c:v>
                </c:pt>
                <c:pt idx="23">
                  <c:v>5.2868148400892343</c:v>
                </c:pt>
                <c:pt idx="24">
                  <c:v>5.4982874336928038</c:v>
                </c:pt>
                <c:pt idx="25">
                  <c:v>5.718218931040516</c:v>
                </c:pt>
                <c:pt idx="26">
                  <c:v>5.9469476882821368</c:v>
                </c:pt>
                <c:pt idx="27">
                  <c:v>6.1848255958134226</c:v>
                </c:pt>
                <c:pt idx="28">
                  <c:v>6.4322186196459592</c:v>
                </c:pt>
                <c:pt idx="29">
                  <c:v>6.6895073644317975</c:v>
                </c:pt>
                <c:pt idx="30">
                  <c:v>6.9570876590090691</c:v>
                </c:pt>
              </c:numCache>
            </c:numRef>
          </c:yVal>
          <c:smooth val="1"/>
        </c:ser>
        <c:ser>
          <c:idx val="2"/>
          <c:order val="2"/>
          <c:tx>
            <c:strRef>
              <c:f>'ESTIMACIÓN DEM. DE POT MAXIMA'!$F$5:$G$5</c:f>
              <c:strCache>
                <c:ptCount val="1"/>
                <c:pt idx="0">
                  <c:v>Escenario Optimista (6% Anual)</c:v>
                </c:pt>
              </c:strCache>
            </c:strRef>
          </c:tx>
          <c:marker>
            <c:symbol val="circle"/>
            <c:size val="7"/>
          </c:marker>
          <c:xVal>
            <c:numRef>
              <c:f>'ESTIMACIÓN DEM. DE POT MAXIMA'!$A$7:$A$37</c:f>
              <c:numCache>
                <c:formatCode>General</c:formatCode>
                <c:ptCount val="3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numCache>
            </c:numRef>
          </c:xVal>
          <c:yVal>
            <c:numRef>
              <c:f>'ESTIMACIÓN DEM. DE POT MAXIMA'!$G$7:$G$37</c:f>
              <c:numCache>
                <c:formatCode>0.000</c:formatCode>
                <c:ptCount val="31"/>
                <c:pt idx="0">
                  <c:v>2.145</c:v>
                </c:pt>
                <c:pt idx="1">
                  <c:v>2.2736999999999998</c:v>
                </c:pt>
                <c:pt idx="2">
                  <c:v>2.4101219999999999</c:v>
                </c:pt>
                <c:pt idx="3">
                  <c:v>2.5547293199999999</c:v>
                </c:pt>
                <c:pt idx="4">
                  <c:v>2.7080130791999997</c:v>
                </c:pt>
                <c:pt idx="5">
                  <c:v>2.8704938639519995</c:v>
                </c:pt>
                <c:pt idx="6">
                  <c:v>3.0427234957891196</c:v>
                </c:pt>
                <c:pt idx="7">
                  <c:v>3.2252869055364668</c:v>
                </c:pt>
                <c:pt idx="8">
                  <c:v>3.4188041198686547</c:v>
                </c:pt>
                <c:pt idx="9">
                  <c:v>3.6239323670607742</c:v>
                </c:pt>
                <c:pt idx="10">
                  <c:v>3.8413683090844204</c:v>
                </c:pt>
                <c:pt idx="11">
                  <c:v>4.0718504076294852</c:v>
                </c:pt>
                <c:pt idx="12">
                  <c:v>4.3161614320872541</c:v>
                </c:pt>
                <c:pt idx="13">
                  <c:v>4.5751311180124894</c:v>
                </c:pt>
                <c:pt idx="14">
                  <c:v>4.8496389850932387</c:v>
                </c:pt>
                <c:pt idx="15">
                  <c:v>5.1406173241988329</c:v>
                </c:pt>
                <c:pt idx="16">
                  <c:v>5.4490543636507631</c:v>
                </c:pt>
                <c:pt idx="17">
                  <c:v>5.7759976254698087</c:v>
                </c:pt>
                <c:pt idx="18">
                  <c:v>6.1225574829979976</c:v>
                </c:pt>
                <c:pt idx="19">
                  <c:v>6.4899109319778772</c:v>
                </c:pt>
                <c:pt idx="20">
                  <c:v>6.8793055878965497</c:v>
                </c:pt>
                <c:pt idx="21">
                  <c:v>7.2920639231703426</c:v>
                </c:pt>
                <c:pt idx="22">
                  <c:v>7.7295877585605632</c:v>
                </c:pt>
                <c:pt idx="23">
                  <c:v>8.1933630240741966</c:v>
                </c:pt>
                <c:pt idx="24">
                  <c:v>8.6849648055186481</c:v>
                </c:pt>
                <c:pt idx="25">
                  <c:v>9.2060626938497663</c:v>
                </c:pt>
                <c:pt idx="26">
                  <c:v>9.7584264554807518</c:v>
                </c:pt>
                <c:pt idx="27">
                  <c:v>10.343932042809596</c:v>
                </c:pt>
                <c:pt idx="28">
                  <c:v>10.964567965378173</c:v>
                </c:pt>
                <c:pt idx="29">
                  <c:v>11.622442043300863</c:v>
                </c:pt>
                <c:pt idx="30">
                  <c:v>12.319788565898914</c:v>
                </c:pt>
              </c:numCache>
            </c:numRef>
          </c:yVal>
          <c:smooth val="1"/>
        </c:ser>
        <c:axId val="70868352"/>
        <c:axId val="70886912"/>
      </c:scatterChart>
      <c:valAx>
        <c:axId val="70868352"/>
        <c:scaling>
          <c:orientation val="minMax"/>
          <c:max val="2047"/>
          <c:min val="2017"/>
        </c:scaling>
        <c:axPos val="b"/>
        <c:title>
          <c:tx>
            <c:rich>
              <a:bodyPr/>
              <a:lstStyle/>
              <a:p>
                <a:pPr>
                  <a:defRPr/>
                </a:pPr>
                <a:r>
                  <a:rPr lang="es-ES" sz="1200">
                    <a:latin typeface="Arial" pitchFamily="34" charset="0"/>
                    <a:cs typeface="Arial" pitchFamily="34" charset="0"/>
                  </a:rPr>
                  <a:t>Años</a:t>
                </a:r>
              </a:p>
            </c:rich>
          </c:tx>
        </c:title>
        <c:numFmt formatCode="General" sourceLinked="1"/>
        <c:majorTickMark val="none"/>
        <c:tickLblPos val="nextTo"/>
        <c:crossAx val="70886912"/>
        <c:crosses val="autoZero"/>
        <c:crossBetween val="midCat"/>
        <c:majorUnit val="2"/>
        <c:minorUnit val="1"/>
      </c:valAx>
      <c:valAx>
        <c:axId val="70886912"/>
        <c:scaling>
          <c:orientation val="minMax"/>
        </c:scaling>
        <c:axPos val="l"/>
        <c:majorGridlines/>
        <c:title>
          <c:tx>
            <c:rich>
              <a:bodyPr/>
              <a:lstStyle/>
              <a:p>
                <a:pPr>
                  <a:defRPr/>
                </a:pPr>
                <a:r>
                  <a:rPr lang="es-ES" sz="1200">
                    <a:latin typeface="Arial" pitchFamily="34" charset="0"/>
                    <a:cs typeface="Arial" pitchFamily="34" charset="0"/>
                  </a:rPr>
                  <a:t>Potencia [MW]</a:t>
                </a:r>
              </a:p>
            </c:rich>
          </c:tx>
        </c:title>
        <c:numFmt formatCode="0.000" sourceLinked="1"/>
        <c:majorTickMark val="none"/>
        <c:tickLblPos val="nextTo"/>
        <c:crossAx val="70868352"/>
        <c:crosses val="autoZero"/>
        <c:crossBetween val="midCat"/>
      </c:valAx>
    </c:plotArea>
    <c:legend>
      <c:legendPos val="t"/>
      <c:layout>
        <c:manualLayout>
          <c:xMode val="edge"/>
          <c:yMode val="edge"/>
          <c:x val="5.3316742623269117E-2"/>
          <c:y val="0.10253897550111365"/>
          <c:w val="0.89999988247739304"/>
          <c:h val="5.3698332251898406E-2"/>
        </c:manualLayout>
      </c:layout>
    </c:legend>
    <c:plotVisOnly val="1"/>
  </c:chart>
  <c:printSettings>
    <c:headerFooter/>
    <c:pageMargins b="0.750000000000006" l="0.70000000000000062" r="0.70000000000000062" t="0.75000000000000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n-US" sz="1400" baseline="0"/>
              <a:t>Estimación de Energía Horas Valle</a:t>
            </a:r>
          </a:p>
        </c:rich>
      </c:tx>
    </c:title>
    <c:plotArea>
      <c:layout/>
      <c:scatterChart>
        <c:scatterStyle val="smoothMarker"/>
        <c:ser>
          <c:idx val="0"/>
          <c:order val="0"/>
          <c:tx>
            <c:strRef>
              <c:f>'ESTIMACIÓN DEM. DE ENERGÍA'!$B$3:$D$3</c:f>
              <c:strCache>
                <c:ptCount val="1"/>
                <c:pt idx="0">
                  <c:v>Escenario Pesimista (2% Anual)</c:v>
                </c:pt>
              </c:strCache>
            </c:strRef>
          </c:tx>
          <c:marker>
            <c:symbol val="diamond"/>
            <c:size val="5"/>
          </c:marker>
          <c:xVal>
            <c:numRef>
              <c:f>'ESTIMACIÓN DEM. DE ENERGÍA'!$A$5:$A$35</c:f>
              <c:numCache>
                <c:formatCode>General</c:formatCode>
                <c:ptCount val="3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numCache>
            </c:numRef>
          </c:xVal>
          <c:yVal>
            <c:numRef>
              <c:f>'ESTIMACIÓN DEM. DE ENERGÍA'!$B$5:$B$35</c:f>
              <c:numCache>
                <c:formatCode>#,##0</c:formatCode>
                <c:ptCount val="31"/>
                <c:pt idx="0">
                  <c:v>2554.2706859999994</c:v>
                </c:pt>
                <c:pt idx="1">
                  <c:v>2605.3560997199993</c:v>
                </c:pt>
                <c:pt idx="2">
                  <c:v>2657.4632217143994</c:v>
                </c:pt>
                <c:pt idx="3">
                  <c:v>2710.6124861486874</c:v>
                </c:pt>
                <c:pt idx="4">
                  <c:v>2764.8247358716612</c:v>
                </c:pt>
                <c:pt idx="5">
                  <c:v>2820.1212305890945</c:v>
                </c:pt>
                <c:pt idx="6">
                  <c:v>2876.5236552008764</c:v>
                </c:pt>
                <c:pt idx="7">
                  <c:v>2934.0541283048938</c:v>
                </c:pt>
                <c:pt idx="8">
                  <c:v>2992.7352108709915</c:v>
                </c:pt>
                <c:pt idx="9">
                  <c:v>3052.5899150884115</c:v>
                </c:pt>
                <c:pt idx="10">
                  <c:v>3113.6417133901796</c:v>
                </c:pt>
                <c:pt idx="11">
                  <c:v>3175.9145476579833</c:v>
                </c:pt>
                <c:pt idx="12">
                  <c:v>3239.4328386111429</c:v>
                </c:pt>
                <c:pt idx="13">
                  <c:v>3304.2214953833659</c:v>
                </c:pt>
                <c:pt idx="14">
                  <c:v>3370.3059252910334</c:v>
                </c:pt>
                <c:pt idx="15">
                  <c:v>3437.7120437968542</c:v>
                </c:pt>
                <c:pt idx="16">
                  <c:v>3506.4662846727915</c:v>
                </c:pt>
                <c:pt idx="17">
                  <c:v>3576.5956103662475</c:v>
                </c:pt>
                <c:pt idx="18">
                  <c:v>3648.1275225735726</c:v>
                </c:pt>
                <c:pt idx="19">
                  <c:v>3721.0900730250441</c:v>
                </c:pt>
                <c:pt idx="20">
                  <c:v>3795.5118744855449</c:v>
                </c:pt>
                <c:pt idx="21">
                  <c:v>3871.422111975256</c:v>
                </c:pt>
                <c:pt idx="22">
                  <c:v>3948.8505542147614</c:v>
                </c:pt>
                <c:pt idx="23">
                  <c:v>4027.8275652990565</c:v>
                </c:pt>
                <c:pt idx="24">
                  <c:v>4108.3841166050379</c:v>
                </c:pt>
                <c:pt idx="25">
                  <c:v>4190.5517989371383</c:v>
                </c:pt>
                <c:pt idx="26">
                  <c:v>4274.3628349158807</c:v>
                </c:pt>
                <c:pt idx="27">
                  <c:v>4359.8500916141984</c:v>
                </c:pt>
                <c:pt idx="28">
                  <c:v>4447.047093446482</c:v>
                </c:pt>
                <c:pt idx="29">
                  <c:v>4535.9880353154113</c:v>
                </c:pt>
                <c:pt idx="30">
                  <c:v>4626.7077960217193</c:v>
                </c:pt>
              </c:numCache>
            </c:numRef>
          </c:yVal>
          <c:smooth val="1"/>
        </c:ser>
        <c:ser>
          <c:idx val="1"/>
          <c:order val="1"/>
          <c:tx>
            <c:strRef>
              <c:f>'ESTIMACIÓN DEM. DE ENERGÍA'!$E$3:$G$3</c:f>
              <c:strCache>
                <c:ptCount val="1"/>
                <c:pt idx="0">
                  <c:v>Escenario Intermedio (4% Anual)</c:v>
                </c:pt>
              </c:strCache>
            </c:strRef>
          </c:tx>
          <c:marker>
            <c:symbol val="diamond"/>
            <c:size val="5"/>
          </c:marker>
          <c:xVal>
            <c:numRef>
              <c:f>'ESTIMACIÓN DEM. DE ENERGÍA'!$A$5:$A$35</c:f>
              <c:numCache>
                <c:formatCode>General</c:formatCode>
                <c:ptCount val="3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numCache>
            </c:numRef>
          </c:xVal>
          <c:yVal>
            <c:numRef>
              <c:f>'ESTIMACIÓN DEM. DE ENERGÍA'!$E$5:$E$35</c:f>
              <c:numCache>
                <c:formatCode>#,##0</c:formatCode>
                <c:ptCount val="31"/>
                <c:pt idx="0">
                  <c:v>2554.2706859999994</c:v>
                </c:pt>
                <c:pt idx="1">
                  <c:v>2656.4415134399992</c:v>
                </c:pt>
                <c:pt idx="2">
                  <c:v>2762.699173977599</c:v>
                </c:pt>
                <c:pt idx="3">
                  <c:v>2873.2071409367031</c:v>
                </c:pt>
                <c:pt idx="4">
                  <c:v>2988.1354265741711</c:v>
                </c:pt>
                <c:pt idx="5">
                  <c:v>3107.660843637138</c:v>
                </c:pt>
                <c:pt idx="6">
                  <c:v>3231.9672773826237</c:v>
                </c:pt>
                <c:pt idx="7">
                  <c:v>3361.2459684779287</c:v>
                </c:pt>
                <c:pt idx="8">
                  <c:v>3495.695807217046</c:v>
                </c:pt>
                <c:pt idx="9">
                  <c:v>3635.5236395057277</c:v>
                </c:pt>
                <c:pt idx="10">
                  <c:v>3780.944585085957</c:v>
                </c:pt>
                <c:pt idx="11">
                  <c:v>3932.1823684893952</c:v>
                </c:pt>
                <c:pt idx="12">
                  <c:v>4089.4696632289711</c:v>
                </c:pt>
                <c:pt idx="13">
                  <c:v>4253.0484497581301</c:v>
                </c:pt>
                <c:pt idx="14">
                  <c:v>4423.1703877484551</c:v>
                </c:pt>
                <c:pt idx="15">
                  <c:v>4600.0972032583932</c:v>
                </c:pt>
                <c:pt idx="16">
                  <c:v>4784.1010913887285</c:v>
                </c:pt>
                <c:pt idx="17">
                  <c:v>4975.4651350442773</c:v>
                </c:pt>
                <c:pt idx="18">
                  <c:v>5174.4837404460486</c:v>
                </c:pt>
                <c:pt idx="19">
                  <c:v>5381.4630900638904</c:v>
                </c:pt>
                <c:pt idx="20">
                  <c:v>5596.7216136664456</c:v>
                </c:pt>
                <c:pt idx="21">
                  <c:v>5820.5904782131038</c:v>
                </c:pt>
                <c:pt idx="22">
                  <c:v>6053.4140973416279</c:v>
                </c:pt>
                <c:pt idx="23">
                  <c:v>6295.5506612352929</c:v>
                </c:pt>
                <c:pt idx="24">
                  <c:v>6547.3726876847049</c:v>
                </c:pt>
                <c:pt idx="25">
                  <c:v>6809.2675951920928</c:v>
                </c:pt>
                <c:pt idx="26">
                  <c:v>7081.6382989997765</c:v>
                </c:pt>
                <c:pt idx="27">
                  <c:v>7364.9038309597672</c:v>
                </c:pt>
                <c:pt idx="28">
                  <c:v>7659.499984198158</c:v>
                </c:pt>
                <c:pt idx="29">
                  <c:v>7965.8799835660848</c:v>
                </c:pt>
                <c:pt idx="30">
                  <c:v>8284.5151829087281</c:v>
                </c:pt>
              </c:numCache>
            </c:numRef>
          </c:yVal>
          <c:smooth val="1"/>
        </c:ser>
        <c:ser>
          <c:idx val="2"/>
          <c:order val="2"/>
          <c:tx>
            <c:strRef>
              <c:f>'ESTIMACIÓN DEM. DE ENERGÍA'!$H$3:$J$3</c:f>
              <c:strCache>
                <c:ptCount val="1"/>
                <c:pt idx="0">
                  <c:v>Escenario Optimista (6% Anual)</c:v>
                </c:pt>
              </c:strCache>
            </c:strRef>
          </c:tx>
          <c:marker>
            <c:symbol val="diamond"/>
            <c:size val="5"/>
          </c:marker>
          <c:xVal>
            <c:numRef>
              <c:f>'ESTIMACIÓN DEM. DE ENERGÍA'!$A$5:$A$35</c:f>
              <c:numCache>
                <c:formatCode>General</c:formatCode>
                <c:ptCount val="3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numCache>
            </c:numRef>
          </c:xVal>
          <c:yVal>
            <c:numRef>
              <c:f>'ESTIMACIÓN DEM. DE ENERGÍA'!$H$5:$H$35</c:f>
              <c:numCache>
                <c:formatCode>#,##0</c:formatCode>
                <c:ptCount val="31"/>
                <c:pt idx="0">
                  <c:v>2554.2706859999994</c:v>
                </c:pt>
                <c:pt idx="1">
                  <c:v>2707.5269271599991</c:v>
                </c:pt>
                <c:pt idx="2">
                  <c:v>2869.978542789599</c:v>
                </c:pt>
                <c:pt idx="3">
                  <c:v>3042.1772553569749</c:v>
                </c:pt>
                <c:pt idx="4">
                  <c:v>3224.7078906783936</c:v>
                </c:pt>
                <c:pt idx="5">
                  <c:v>3418.190364119097</c:v>
                </c:pt>
                <c:pt idx="6">
                  <c:v>3623.2817859662428</c:v>
                </c:pt>
                <c:pt idx="7">
                  <c:v>3840.6786931242173</c:v>
                </c:pt>
                <c:pt idx="8">
                  <c:v>4071.1194147116703</c:v>
                </c:pt>
                <c:pt idx="9">
                  <c:v>4315.3865795943702</c:v>
                </c:pt>
                <c:pt idx="10">
                  <c:v>4574.3097743700328</c:v>
                </c:pt>
                <c:pt idx="11">
                  <c:v>4848.768360832235</c:v>
                </c:pt>
                <c:pt idx="12">
                  <c:v>5139.694462482169</c:v>
                </c:pt>
                <c:pt idx="13">
                  <c:v>5448.0761302310993</c:v>
                </c:pt>
                <c:pt idx="14">
                  <c:v>5774.9606980449653</c:v>
                </c:pt>
                <c:pt idx="15">
                  <c:v>6121.4583399276635</c:v>
                </c:pt>
                <c:pt idx="16">
                  <c:v>6488.7458403233231</c:v>
                </c:pt>
                <c:pt idx="17">
                  <c:v>6878.0705907427227</c:v>
                </c:pt>
                <c:pt idx="18">
                  <c:v>7290.7548261872862</c:v>
                </c:pt>
                <c:pt idx="19">
                  <c:v>7728.2001157585237</c:v>
                </c:pt>
                <c:pt idx="20">
                  <c:v>8191.8921227040355</c:v>
                </c:pt>
                <c:pt idx="21">
                  <c:v>8683.4056500662773</c:v>
                </c:pt>
                <c:pt idx="22">
                  <c:v>9204.4099890702546</c:v>
                </c:pt>
                <c:pt idx="23">
                  <c:v>9756.6745884144693</c:v>
                </c:pt>
                <c:pt idx="24">
                  <c:v>10342.075063719338</c:v>
                </c:pt>
                <c:pt idx="25">
                  <c:v>10962.599567542498</c:v>
                </c:pt>
                <c:pt idx="26">
                  <c:v>11620.355541595049</c:v>
                </c:pt>
                <c:pt idx="27">
                  <c:v>12317.576874090752</c:v>
                </c:pt>
                <c:pt idx="28">
                  <c:v>13056.631486536196</c:v>
                </c:pt>
                <c:pt idx="29">
                  <c:v>13840.029375728369</c:v>
                </c:pt>
                <c:pt idx="30">
                  <c:v>14670.431138272072</c:v>
                </c:pt>
              </c:numCache>
            </c:numRef>
          </c:yVal>
          <c:smooth val="1"/>
        </c:ser>
        <c:axId val="82513280"/>
        <c:axId val="82523648"/>
      </c:scatterChart>
      <c:valAx>
        <c:axId val="82513280"/>
        <c:scaling>
          <c:orientation val="minMax"/>
          <c:max val="2047"/>
          <c:min val="2017"/>
        </c:scaling>
        <c:axPos val="b"/>
        <c:title>
          <c:tx>
            <c:rich>
              <a:bodyPr/>
              <a:lstStyle/>
              <a:p>
                <a:pPr>
                  <a:defRPr/>
                </a:pPr>
                <a:r>
                  <a:rPr lang="es-ES"/>
                  <a:t>Años</a:t>
                </a:r>
              </a:p>
            </c:rich>
          </c:tx>
        </c:title>
        <c:numFmt formatCode="General" sourceLinked="1"/>
        <c:majorTickMark val="none"/>
        <c:tickLblPos val="nextTo"/>
        <c:crossAx val="82523648"/>
        <c:crosses val="autoZero"/>
        <c:crossBetween val="midCat"/>
        <c:majorUnit val="2"/>
        <c:minorUnit val="1"/>
      </c:valAx>
      <c:valAx>
        <c:axId val="82523648"/>
        <c:scaling>
          <c:orientation val="minMax"/>
        </c:scaling>
        <c:axPos val="l"/>
        <c:majorGridlines/>
        <c:title>
          <c:tx>
            <c:rich>
              <a:bodyPr/>
              <a:lstStyle/>
              <a:p>
                <a:pPr>
                  <a:defRPr/>
                </a:pPr>
                <a:r>
                  <a:rPr lang="es-ES"/>
                  <a:t>Energía [MWh]</a:t>
                </a:r>
              </a:p>
            </c:rich>
          </c:tx>
        </c:title>
        <c:numFmt formatCode="#,##0" sourceLinked="1"/>
        <c:majorTickMark val="none"/>
        <c:tickLblPos val="nextTo"/>
        <c:crossAx val="82513280"/>
        <c:crosses val="autoZero"/>
        <c:crossBetween val="midCat"/>
      </c:valAx>
    </c:plotArea>
    <c:legend>
      <c:legendPos val="t"/>
    </c:legend>
    <c:plotVisOnly val="1"/>
  </c:chart>
  <c:printSettings>
    <c:headerFooter/>
    <c:pageMargins b="0.75000000000000577" l="0.70000000000000062" r="0.70000000000000062" t="0.750000000000005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n-US" sz="1400" baseline="0"/>
              <a:t>Estimación de Energía Horas Restantes</a:t>
            </a:r>
          </a:p>
        </c:rich>
      </c:tx>
    </c:title>
    <c:plotArea>
      <c:layout/>
      <c:scatterChart>
        <c:scatterStyle val="smoothMarker"/>
        <c:ser>
          <c:idx val="0"/>
          <c:order val="0"/>
          <c:tx>
            <c:strRef>
              <c:f>'ESTIMACIÓN DEM. DE ENERGÍA'!$B$3:$D$3</c:f>
              <c:strCache>
                <c:ptCount val="1"/>
                <c:pt idx="0">
                  <c:v>Escenario Pesimista (2% Anual)</c:v>
                </c:pt>
              </c:strCache>
            </c:strRef>
          </c:tx>
          <c:xVal>
            <c:numRef>
              <c:f>'ESTIMACIÓN DEM. DE ENERGÍA'!$A$5:$A$35</c:f>
              <c:numCache>
                <c:formatCode>General</c:formatCode>
                <c:ptCount val="3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numCache>
            </c:numRef>
          </c:xVal>
          <c:yVal>
            <c:numRef>
              <c:f>'ESTIMACIÓN DEM. DE ENERGÍA'!$C$5:$C$35</c:f>
              <c:numCache>
                <c:formatCode>#,##0</c:formatCode>
                <c:ptCount val="31"/>
                <c:pt idx="0">
                  <c:v>7582.8047724000007</c:v>
                </c:pt>
                <c:pt idx="1">
                  <c:v>7734.4608678480008</c:v>
                </c:pt>
                <c:pt idx="2">
                  <c:v>7889.1500852049612</c:v>
                </c:pt>
                <c:pt idx="3">
                  <c:v>8046.9330869090609</c:v>
                </c:pt>
                <c:pt idx="4">
                  <c:v>8207.8717486472415</c:v>
                </c:pt>
                <c:pt idx="5">
                  <c:v>8372.0291836201868</c:v>
                </c:pt>
                <c:pt idx="6">
                  <c:v>8539.4697672925904</c:v>
                </c:pt>
                <c:pt idx="7">
                  <c:v>8710.2591626384419</c:v>
                </c:pt>
                <c:pt idx="8">
                  <c:v>8884.4643458912105</c:v>
                </c:pt>
                <c:pt idx="9">
                  <c:v>9062.1536328090351</c:v>
                </c:pt>
                <c:pt idx="10">
                  <c:v>9243.3967054652167</c:v>
                </c:pt>
                <c:pt idx="11">
                  <c:v>9428.2646395745214</c:v>
                </c:pt>
                <c:pt idx="12">
                  <c:v>9616.8299323660121</c:v>
                </c:pt>
                <c:pt idx="13">
                  <c:v>9809.1665310133321</c:v>
                </c:pt>
                <c:pt idx="14">
                  <c:v>10005.349861633598</c:v>
                </c:pt>
                <c:pt idx="15">
                  <c:v>10205.45685886627</c:v>
                </c:pt>
                <c:pt idx="16">
                  <c:v>10409.565996043595</c:v>
                </c:pt>
                <c:pt idx="17">
                  <c:v>10617.757315964467</c:v>
                </c:pt>
                <c:pt idx="18">
                  <c:v>10830.112462283756</c:v>
                </c:pt>
                <c:pt idx="19">
                  <c:v>11046.714711529432</c:v>
                </c:pt>
                <c:pt idx="20">
                  <c:v>11267.64900576002</c:v>
                </c:pt>
                <c:pt idx="21">
                  <c:v>11493.00198587522</c:v>
                </c:pt>
                <c:pt idx="22">
                  <c:v>11722.862025592725</c:v>
                </c:pt>
                <c:pt idx="23">
                  <c:v>11957.31926610458</c:v>
                </c:pt>
                <c:pt idx="24">
                  <c:v>12196.465651426672</c:v>
                </c:pt>
                <c:pt idx="25">
                  <c:v>12440.394964455205</c:v>
                </c:pt>
                <c:pt idx="26">
                  <c:v>12689.202863744309</c:v>
                </c:pt>
                <c:pt idx="27">
                  <c:v>12942.986921019196</c:v>
                </c:pt>
                <c:pt idx="28">
                  <c:v>13201.84665943958</c:v>
                </c:pt>
                <c:pt idx="29">
                  <c:v>13465.883592628372</c:v>
                </c:pt>
                <c:pt idx="30">
                  <c:v>13735.20126448094</c:v>
                </c:pt>
              </c:numCache>
            </c:numRef>
          </c:yVal>
          <c:smooth val="1"/>
        </c:ser>
        <c:ser>
          <c:idx val="1"/>
          <c:order val="1"/>
          <c:tx>
            <c:strRef>
              <c:f>'ESTIMACIÓN DEM. DE ENERGÍA'!$E$3:$G$3</c:f>
              <c:strCache>
                <c:ptCount val="1"/>
                <c:pt idx="0">
                  <c:v>Escenario Intermedio (4% Anual)</c:v>
                </c:pt>
              </c:strCache>
            </c:strRef>
          </c:tx>
          <c:marker>
            <c:symbol val="diamond"/>
            <c:size val="5"/>
          </c:marker>
          <c:xVal>
            <c:numRef>
              <c:f>'ESTIMACIÓN DEM. DE ENERGÍA'!$A$5:$A$35</c:f>
              <c:numCache>
                <c:formatCode>General</c:formatCode>
                <c:ptCount val="3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numCache>
            </c:numRef>
          </c:xVal>
          <c:yVal>
            <c:numRef>
              <c:f>'ESTIMACIÓN DEM. DE ENERGÍA'!$F$5:$F$35</c:f>
              <c:numCache>
                <c:formatCode>#,##0</c:formatCode>
                <c:ptCount val="31"/>
                <c:pt idx="0">
                  <c:v>7582.8047724000007</c:v>
                </c:pt>
                <c:pt idx="1">
                  <c:v>7886.1169632960009</c:v>
                </c:pt>
                <c:pt idx="2">
                  <c:v>8201.5616418278405</c:v>
                </c:pt>
                <c:pt idx="3">
                  <c:v>8529.6241075009548</c:v>
                </c:pt>
                <c:pt idx="4">
                  <c:v>8870.8090718009935</c:v>
                </c:pt>
                <c:pt idx="5">
                  <c:v>9225.6414346730326</c:v>
                </c:pt>
                <c:pt idx="6">
                  <c:v>9594.6670920599536</c:v>
                </c:pt>
                <c:pt idx="7">
                  <c:v>9978.4537757423514</c:v>
                </c:pt>
                <c:pt idx="8">
                  <c:v>10377.591926772046</c:v>
                </c:pt>
                <c:pt idx="9">
                  <c:v>10792.695603842927</c:v>
                </c:pt>
                <c:pt idx="10">
                  <c:v>11224.403427996644</c:v>
                </c:pt>
                <c:pt idx="11">
                  <c:v>11673.379565116509</c:v>
                </c:pt>
                <c:pt idx="12">
                  <c:v>12140.31474772117</c:v>
                </c:pt>
                <c:pt idx="13">
                  <c:v>12625.927337630017</c:v>
                </c:pt>
                <c:pt idx="14">
                  <c:v>13130.964431135219</c:v>
                </c:pt>
                <c:pt idx="15">
                  <c:v>13656.203008380628</c:v>
                </c:pt>
                <c:pt idx="16">
                  <c:v>14202.451128715853</c:v>
                </c:pt>
                <c:pt idx="17">
                  <c:v>14770.549173864487</c:v>
                </c:pt>
                <c:pt idx="18">
                  <c:v>15361.371140819067</c:v>
                </c:pt>
                <c:pt idx="19">
                  <c:v>15975.82598645183</c:v>
                </c:pt>
                <c:pt idx="20">
                  <c:v>16614.859025909904</c:v>
                </c:pt>
                <c:pt idx="21">
                  <c:v>17279.453386946301</c:v>
                </c:pt>
                <c:pt idx="22">
                  <c:v>17970.631522424152</c:v>
                </c:pt>
                <c:pt idx="23">
                  <c:v>18689.456783321119</c:v>
                </c:pt>
                <c:pt idx="24">
                  <c:v>19437.035054653963</c:v>
                </c:pt>
                <c:pt idx="25">
                  <c:v>20214.516456840123</c:v>
                </c:pt>
                <c:pt idx="26">
                  <c:v>21023.097115113727</c:v>
                </c:pt>
                <c:pt idx="27">
                  <c:v>21864.020999718276</c:v>
                </c:pt>
                <c:pt idx="28">
                  <c:v>22738.581839707007</c:v>
                </c:pt>
                <c:pt idx="29">
                  <c:v>23648.125113295286</c:v>
                </c:pt>
                <c:pt idx="30">
                  <c:v>24594.050117827097</c:v>
                </c:pt>
              </c:numCache>
            </c:numRef>
          </c:yVal>
          <c:smooth val="1"/>
        </c:ser>
        <c:ser>
          <c:idx val="2"/>
          <c:order val="2"/>
          <c:tx>
            <c:strRef>
              <c:f>'ESTIMACIÓN DEM. DE ENERGÍA'!$H$3:$J$3</c:f>
              <c:strCache>
                <c:ptCount val="1"/>
                <c:pt idx="0">
                  <c:v>Escenario Optimista (6% Anual)</c:v>
                </c:pt>
              </c:strCache>
            </c:strRef>
          </c:tx>
          <c:marker>
            <c:symbol val="diamond"/>
            <c:size val="5"/>
          </c:marker>
          <c:xVal>
            <c:numRef>
              <c:f>'ESTIMACIÓN DEM. DE ENERGÍA'!$A$5:$A$35</c:f>
              <c:numCache>
                <c:formatCode>General</c:formatCode>
                <c:ptCount val="3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numCache>
            </c:numRef>
          </c:xVal>
          <c:yVal>
            <c:numRef>
              <c:f>'ESTIMACIÓN DEM. DE ENERGÍA'!$I$5:$I$35</c:f>
              <c:numCache>
                <c:formatCode>#,##0</c:formatCode>
                <c:ptCount val="31"/>
                <c:pt idx="0">
                  <c:v>7582.8047724000007</c:v>
                </c:pt>
                <c:pt idx="1">
                  <c:v>8037.773058744001</c:v>
                </c:pt>
                <c:pt idx="2">
                  <c:v>8520.0394422686404</c:v>
                </c:pt>
                <c:pt idx="3">
                  <c:v>9031.241808804758</c:v>
                </c:pt>
                <c:pt idx="4">
                  <c:v>9573.1163173330442</c:v>
                </c:pt>
                <c:pt idx="5">
                  <c:v>10147.503296373026</c:v>
                </c:pt>
                <c:pt idx="6">
                  <c:v>10756.353494155408</c:v>
                </c:pt>
                <c:pt idx="7">
                  <c:v>11401.734703804732</c:v>
                </c:pt>
                <c:pt idx="8">
                  <c:v>12085.838786033015</c:v>
                </c:pt>
                <c:pt idx="9">
                  <c:v>12810.989113194995</c:v>
                </c:pt>
                <c:pt idx="10">
                  <c:v>13579.648459986694</c:v>
                </c:pt>
                <c:pt idx="11">
                  <c:v>14394.427367585897</c:v>
                </c:pt>
                <c:pt idx="12">
                  <c:v>15258.09300964105</c:v>
                </c:pt>
                <c:pt idx="13">
                  <c:v>16173.578590219513</c:v>
                </c:pt>
                <c:pt idx="14">
                  <c:v>17143.993305632684</c:v>
                </c:pt>
                <c:pt idx="15">
                  <c:v>18172.632903970647</c:v>
                </c:pt>
                <c:pt idx="16">
                  <c:v>19262.990878208886</c:v>
                </c:pt>
                <c:pt idx="17">
                  <c:v>20418.770330901418</c:v>
                </c:pt>
                <c:pt idx="18">
                  <c:v>21643.896550755504</c:v>
                </c:pt>
                <c:pt idx="19">
                  <c:v>22942.530343800834</c:v>
                </c:pt>
                <c:pt idx="20">
                  <c:v>24319.082164428884</c:v>
                </c:pt>
                <c:pt idx="21">
                  <c:v>25778.227094294616</c:v>
                </c:pt>
                <c:pt idx="22">
                  <c:v>27324.920719952293</c:v>
                </c:pt>
                <c:pt idx="23">
                  <c:v>28964.415963149429</c:v>
                </c:pt>
                <c:pt idx="24">
                  <c:v>30702.280920938396</c:v>
                </c:pt>
                <c:pt idx="25">
                  <c:v>32544.417776194699</c:v>
                </c:pt>
                <c:pt idx="26">
                  <c:v>34497.08284276638</c:v>
                </c:pt>
                <c:pt idx="27">
                  <c:v>36566.907813332364</c:v>
                </c:pt>
                <c:pt idx="28">
                  <c:v>38760.922282132306</c:v>
                </c:pt>
                <c:pt idx="29">
                  <c:v>41086.577619060241</c:v>
                </c:pt>
                <c:pt idx="30">
                  <c:v>43551.772276203854</c:v>
                </c:pt>
              </c:numCache>
            </c:numRef>
          </c:yVal>
          <c:smooth val="1"/>
        </c:ser>
        <c:axId val="82541568"/>
        <c:axId val="88016000"/>
      </c:scatterChart>
      <c:valAx>
        <c:axId val="82541568"/>
        <c:scaling>
          <c:orientation val="minMax"/>
          <c:max val="2047"/>
          <c:min val="2017"/>
        </c:scaling>
        <c:axPos val="b"/>
        <c:title>
          <c:tx>
            <c:rich>
              <a:bodyPr/>
              <a:lstStyle/>
              <a:p>
                <a:pPr>
                  <a:defRPr/>
                </a:pPr>
                <a:r>
                  <a:rPr lang="es-ES"/>
                  <a:t>Años</a:t>
                </a:r>
              </a:p>
            </c:rich>
          </c:tx>
        </c:title>
        <c:numFmt formatCode="General" sourceLinked="1"/>
        <c:majorTickMark val="none"/>
        <c:tickLblPos val="nextTo"/>
        <c:crossAx val="88016000"/>
        <c:crosses val="autoZero"/>
        <c:crossBetween val="midCat"/>
        <c:majorUnit val="2"/>
        <c:minorUnit val="1"/>
      </c:valAx>
      <c:valAx>
        <c:axId val="88016000"/>
        <c:scaling>
          <c:orientation val="minMax"/>
        </c:scaling>
        <c:axPos val="l"/>
        <c:majorGridlines/>
        <c:title>
          <c:tx>
            <c:rich>
              <a:bodyPr/>
              <a:lstStyle/>
              <a:p>
                <a:pPr>
                  <a:defRPr/>
                </a:pPr>
                <a:r>
                  <a:rPr lang="es-ES"/>
                  <a:t>Energía [MWh]</a:t>
                </a:r>
              </a:p>
            </c:rich>
          </c:tx>
        </c:title>
        <c:numFmt formatCode="#,##0" sourceLinked="1"/>
        <c:majorTickMark val="none"/>
        <c:tickLblPos val="nextTo"/>
        <c:crossAx val="82541568"/>
        <c:crosses val="autoZero"/>
        <c:crossBetween val="midCat"/>
      </c:valAx>
    </c:plotArea>
    <c:legend>
      <c:legendPos val="t"/>
    </c:legend>
    <c:plotVisOnly val="1"/>
  </c:chart>
  <c:printSettings>
    <c:headerFooter/>
    <c:pageMargins b="0.750000000000006" l="0.70000000000000062" r="0.70000000000000062" t="0.75000000000000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n-US" sz="1400" baseline="0"/>
              <a:t>Estimación de Energía Horas Punta</a:t>
            </a:r>
          </a:p>
        </c:rich>
      </c:tx>
    </c:title>
    <c:plotArea>
      <c:layout/>
      <c:scatterChart>
        <c:scatterStyle val="smoothMarker"/>
        <c:ser>
          <c:idx val="0"/>
          <c:order val="0"/>
          <c:tx>
            <c:strRef>
              <c:f>'ESTIMACIÓN DEM. DE ENERGÍA'!$B$3:$D$3</c:f>
              <c:strCache>
                <c:ptCount val="1"/>
                <c:pt idx="0">
                  <c:v>Escenario Pesimista (2% Anual)</c:v>
                </c:pt>
              </c:strCache>
            </c:strRef>
          </c:tx>
          <c:marker>
            <c:symbol val="diamond"/>
            <c:size val="5"/>
          </c:marker>
          <c:xVal>
            <c:numRef>
              <c:f>'ESTIMACIÓN DEM. DE ENERGÍA'!$A$5:$A$35</c:f>
              <c:numCache>
                <c:formatCode>General</c:formatCode>
                <c:ptCount val="3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numCache>
            </c:numRef>
          </c:xVal>
          <c:yVal>
            <c:numRef>
              <c:f>'ESTIMACIÓN DEM. DE ENERGÍA'!$D$5:$D$35</c:f>
              <c:numCache>
                <c:formatCode>#,##0</c:formatCode>
                <c:ptCount val="31"/>
                <c:pt idx="0">
                  <c:v>2926.9535328000011</c:v>
                </c:pt>
                <c:pt idx="1">
                  <c:v>2985.4926034560012</c:v>
                </c:pt>
                <c:pt idx="2">
                  <c:v>3045.2024555251214</c:v>
                </c:pt>
                <c:pt idx="3">
                  <c:v>3106.1065046356239</c:v>
                </c:pt>
                <c:pt idx="4">
                  <c:v>3168.2286347283361</c:v>
                </c:pt>
                <c:pt idx="5">
                  <c:v>3231.5932074229027</c:v>
                </c:pt>
                <c:pt idx="6">
                  <c:v>3296.2250715713608</c:v>
                </c:pt>
                <c:pt idx="7">
                  <c:v>3362.1495730027882</c:v>
                </c:pt>
                <c:pt idx="8">
                  <c:v>3429.3925644628439</c:v>
                </c:pt>
                <c:pt idx="9">
                  <c:v>3497.9804157521007</c:v>
                </c:pt>
                <c:pt idx="10">
                  <c:v>3567.9400240671425</c:v>
                </c:pt>
                <c:pt idx="11">
                  <c:v>3639.2988245484853</c:v>
                </c:pt>
                <c:pt idx="12">
                  <c:v>3712.0848010394552</c:v>
                </c:pt>
                <c:pt idx="13">
                  <c:v>3786.3264970602445</c:v>
                </c:pt>
                <c:pt idx="14">
                  <c:v>3862.0530270014492</c:v>
                </c:pt>
                <c:pt idx="15">
                  <c:v>3939.2940875414783</c:v>
                </c:pt>
                <c:pt idx="16">
                  <c:v>4018.0799692923079</c:v>
                </c:pt>
                <c:pt idx="17">
                  <c:v>4098.441568678154</c:v>
                </c:pt>
                <c:pt idx="18">
                  <c:v>4180.4104000517173</c:v>
                </c:pt>
                <c:pt idx="19">
                  <c:v>4264.0186080527519</c:v>
                </c:pt>
                <c:pt idx="20">
                  <c:v>4349.2989802138072</c:v>
                </c:pt>
                <c:pt idx="21">
                  <c:v>4436.2849598180837</c:v>
                </c:pt>
                <c:pt idx="22">
                  <c:v>4525.0106590144451</c:v>
                </c:pt>
                <c:pt idx="23">
                  <c:v>4615.5108721947336</c:v>
                </c:pt>
                <c:pt idx="24">
                  <c:v>4707.8210896386281</c:v>
                </c:pt>
                <c:pt idx="25">
                  <c:v>4801.9775114314007</c:v>
                </c:pt>
                <c:pt idx="26">
                  <c:v>4898.017061660029</c:v>
                </c:pt>
                <c:pt idx="27">
                  <c:v>4995.9774028932297</c:v>
                </c:pt>
                <c:pt idx="28">
                  <c:v>5095.8969509510944</c:v>
                </c:pt>
                <c:pt idx="29">
                  <c:v>5197.8148899701164</c:v>
                </c:pt>
                <c:pt idx="30">
                  <c:v>5301.7711877695183</c:v>
                </c:pt>
              </c:numCache>
            </c:numRef>
          </c:yVal>
          <c:smooth val="1"/>
        </c:ser>
        <c:ser>
          <c:idx val="1"/>
          <c:order val="1"/>
          <c:tx>
            <c:strRef>
              <c:f>'ESTIMACIÓN DEM. DE ENERGÍA'!$E$3:$G$3</c:f>
              <c:strCache>
                <c:ptCount val="1"/>
                <c:pt idx="0">
                  <c:v>Escenario Intermedio (4% Anual)</c:v>
                </c:pt>
              </c:strCache>
            </c:strRef>
          </c:tx>
          <c:marker>
            <c:symbol val="diamond"/>
            <c:size val="5"/>
          </c:marker>
          <c:xVal>
            <c:numRef>
              <c:f>'ESTIMACIÓN DEM. DE ENERGÍA'!$A$5:$A$35</c:f>
              <c:numCache>
                <c:formatCode>General</c:formatCode>
                <c:ptCount val="3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numCache>
            </c:numRef>
          </c:xVal>
          <c:yVal>
            <c:numRef>
              <c:f>'ESTIMACIÓN DEM. DE ENERGÍA'!$G$5:$G$35</c:f>
              <c:numCache>
                <c:formatCode>#,##0</c:formatCode>
                <c:ptCount val="31"/>
                <c:pt idx="0">
                  <c:v>2926.9535328000011</c:v>
                </c:pt>
                <c:pt idx="1">
                  <c:v>3044.0316741120009</c:v>
                </c:pt>
                <c:pt idx="2">
                  <c:v>3165.7929410764809</c:v>
                </c:pt>
                <c:pt idx="3">
                  <c:v>3292.4246587195403</c:v>
                </c:pt>
                <c:pt idx="4">
                  <c:v>3424.1216450683219</c:v>
                </c:pt>
                <c:pt idx="5">
                  <c:v>3561.0865108710545</c:v>
                </c:pt>
                <c:pt idx="6">
                  <c:v>3703.5299713058967</c:v>
                </c:pt>
                <c:pt idx="7">
                  <c:v>3851.6711701581326</c:v>
                </c:pt>
                <c:pt idx="8">
                  <c:v>4005.738016964458</c:v>
                </c:pt>
                <c:pt idx="9">
                  <c:v>4165.9675376430359</c:v>
                </c:pt>
                <c:pt idx="10">
                  <c:v>4332.6062391487576</c:v>
                </c:pt>
                <c:pt idx="11">
                  <c:v>4505.9104887147078</c:v>
                </c:pt>
                <c:pt idx="12">
                  <c:v>4686.1469082632957</c:v>
                </c:pt>
                <c:pt idx="13">
                  <c:v>4873.5927845938277</c:v>
                </c:pt>
                <c:pt idx="14">
                  <c:v>5068.5364959775807</c:v>
                </c:pt>
                <c:pt idx="15">
                  <c:v>5271.277955816684</c:v>
                </c:pt>
                <c:pt idx="16">
                  <c:v>5482.1290740493514</c:v>
                </c:pt>
                <c:pt idx="17">
                  <c:v>5701.4142370113259</c:v>
                </c:pt>
                <c:pt idx="18">
                  <c:v>5929.4708064917786</c:v>
                </c:pt>
                <c:pt idx="19">
                  <c:v>6166.6496387514499</c:v>
                </c:pt>
                <c:pt idx="20">
                  <c:v>6413.3156243015083</c:v>
                </c:pt>
                <c:pt idx="21">
                  <c:v>6669.8482492735684</c:v>
                </c:pt>
                <c:pt idx="22">
                  <c:v>6936.6421792445108</c:v>
                </c:pt>
                <c:pt idx="23">
                  <c:v>7214.1078664142915</c:v>
                </c:pt>
                <c:pt idx="24">
                  <c:v>7502.6721810708632</c:v>
                </c:pt>
                <c:pt idx="25">
                  <c:v>7802.7790683136973</c:v>
                </c:pt>
                <c:pt idx="26">
                  <c:v>8114.8902310462454</c:v>
                </c:pt>
                <c:pt idx="27">
                  <c:v>8439.4858402880946</c:v>
                </c:pt>
                <c:pt idx="28">
                  <c:v>8777.0652738996178</c:v>
                </c:pt>
                <c:pt idx="29">
                  <c:v>9128.1478848556017</c:v>
                </c:pt>
                <c:pt idx="30">
                  <c:v>9493.2738002498263</c:v>
                </c:pt>
              </c:numCache>
            </c:numRef>
          </c:yVal>
          <c:smooth val="1"/>
        </c:ser>
        <c:ser>
          <c:idx val="2"/>
          <c:order val="2"/>
          <c:tx>
            <c:strRef>
              <c:f>'ESTIMACIÓN DEM. DE ENERGÍA'!$H$3:$J$3</c:f>
              <c:strCache>
                <c:ptCount val="1"/>
                <c:pt idx="0">
                  <c:v>Escenario Optimista (6% Anual)</c:v>
                </c:pt>
              </c:strCache>
            </c:strRef>
          </c:tx>
          <c:marker>
            <c:symbol val="diamond"/>
            <c:size val="5"/>
          </c:marker>
          <c:xVal>
            <c:numRef>
              <c:f>'ESTIMACIÓN DEM. DE ENERGÍA'!$A$5:$A$35</c:f>
              <c:numCache>
                <c:formatCode>General</c:formatCode>
                <c:ptCount val="31"/>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pt idx="14">
                  <c:v>2031</c:v>
                </c:pt>
                <c:pt idx="15">
                  <c:v>2032</c:v>
                </c:pt>
                <c:pt idx="16">
                  <c:v>2033</c:v>
                </c:pt>
                <c:pt idx="17">
                  <c:v>2034</c:v>
                </c:pt>
                <c:pt idx="18">
                  <c:v>2035</c:v>
                </c:pt>
                <c:pt idx="19">
                  <c:v>2036</c:v>
                </c:pt>
                <c:pt idx="20">
                  <c:v>2037</c:v>
                </c:pt>
                <c:pt idx="21">
                  <c:v>2038</c:v>
                </c:pt>
                <c:pt idx="22">
                  <c:v>2039</c:v>
                </c:pt>
                <c:pt idx="23">
                  <c:v>2040</c:v>
                </c:pt>
                <c:pt idx="24">
                  <c:v>2041</c:v>
                </c:pt>
                <c:pt idx="25">
                  <c:v>2042</c:v>
                </c:pt>
                <c:pt idx="26">
                  <c:v>2043</c:v>
                </c:pt>
                <c:pt idx="27">
                  <c:v>2044</c:v>
                </c:pt>
                <c:pt idx="28">
                  <c:v>2045</c:v>
                </c:pt>
                <c:pt idx="29">
                  <c:v>2046</c:v>
                </c:pt>
                <c:pt idx="30">
                  <c:v>2047</c:v>
                </c:pt>
              </c:numCache>
            </c:numRef>
          </c:xVal>
          <c:yVal>
            <c:numRef>
              <c:f>'ESTIMACIÓN DEM. DE ENERGÍA'!$J$5:$J$35</c:f>
              <c:numCache>
                <c:formatCode>#,##0</c:formatCode>
                <c:ptCount val="31"/>
                <c:pt idx="0">
                  <c:v>2926.9535328000011</c:v>
                </c:pt>
                <c:pt idx="1">
                  <c:v>3102.5707447680011</c:v>
                </c:pt>
                <c:pt idx="2">
                  <c:v>3288.724989454081</c:v>
                </c:pt>
                <c:pt idx="3">
                  <c:v>3486.0484888213259</c:v>
                </c:pt>
                <c:pt idx="4">
                  <c:v>3695.2113981506054</c:v>
                </c:pt>
                <c:pt idx="5">
                  <c:v>3916.9240820396417</c:v>
                </c:pt>
                <c:pt idx="6">
                  <c:v>4151.93952696202</c:v>
                </c:pt>
                <c:pt idx="7">
                  <c:v>4401.0558985797416</c:v>
                </c:pt>
                <c:pt idx="8">
                  <c:v>4665.1192524945263</c:v>
                </c:pt>
                <c:pt idx="9">
                  <c:v>4945.0264076441981</c:v>
                </c:pt>
                <c:pt idx="10">
                  <c:v>5241.7279921028503</c:v>
                </c:pt>
                <c:pt idx="11">
                  <c:v>5556.2316716290215</c:v>
                </c:pt>
                <c:pt idx="12">
                  <c:v>5889.6055719267624</c:v>
                </c:pt>
                <c:pt idx="13">
                  <c:v>6242.9819062423685</c:v>
                </c:pt>
                <c:pt idx="14">
                  <c:v>6617.5608206169109</c:v>
                </c:pt>
                <c:pt idx="15">
                  <c:v>7014.6144698539256</c:v>
                </c:pt>
                <c:pt idx="16">
                  <c:v>7435.4913380451608</c:v>
                </c:pt>
                <c:pt idx="17">
                  <c:v>7881.6208183278704</c:v>
                </c:pt>
                <c:pt idx="18">
                  <c:v>8354.5180674275434</c:v>
                </c:pt>
                <c:pt idx="19">
                  <c:v>8855.7891514731964</c:v>
                </c:pt>
                <c:pt idx="20">
                  <c:v>9387.136500561588</c:v>
                </c:pt>
                <c:pt idx="21">
                  <c:v>9950.3646905952828</c:v>
                </c:pt>
                <c:pt idx="22">
                  <c:v>10547.386572031</c:v>
                </c:pt>
                <c:pt idx="23">
                  <c:v>11180.229766352861</c:v>
                </c:pt>
                <c:pt idx="24">
                  <c:v>11851.043552334033</c:v>
                </c:pt>
                <c:pt idx="25">
                  <c:v>12562.106165474075</c:v>
                </c:pt>
                <c:pt idx="26">
                  <c:v>13315.83253540252</c:v>
                </c:pt>
                <c:pt idx="27">
                  <c:v>14114.782487526671</c:v>
                </c:pt>
                <c:pt idx="28">
                  <c:v>14961.669436778271</c:v>
                </c:pt>
                <c:pt idx="29">
                  <c:v>15859.369602984967</c:v>
                </c:pt>
                <c:pt idx="30">
                  <c:v>16810.931779164064</c:v>
                </c:pt>
              </c:numCache>
            </c:numRef>
          </c:yVal>
          <c:smooth val="1"/>
        </c:ser>
        <c:axId val="88038016"/>
        <c:axId val="88060672"/>
      </c:scatterChart>
      <c:valAx>
        <c:axId val="88038016"/>
        <c:scaling>
          <c:orientation val="minMax"/>
          <c:max val="2047"/>
          <c:min val="2017"/>
        </c:scaling>
        <c:axPos val="b"/>
        <c:title>
          <c:tx>
            <c:rich>
              <a:bodyPr/>
              <a:lstStyle/>
              <a:p>
                <a:pPr>
                  <a:defRPr/>
                </a:pPr>
                <a:r>
                  <a:rPr lang="es-ES"/>
                  <a:t>Años</a:t>
                </a:r>
              </a:p>
            </c:rich>
          </c:tx>
        </c:title>
        <c:numFmt formatCode="General" sourceLinked="1"/>
        <c:majorTickMark val="none"/>
        <c:tickLblPos val="nextTo"/>
        <c:crossAx val="88060672"/>
        <c:crosses val="autoZero"/>
        <c:crossBetween val="midCat"/>
        <c:majorUnit val="2"/>
        <c:minorUnit val="1"/>
      </c:valAx>
      <c:valAx>
        <c:axId val="88060672"/>
        <c:scaling>
          <c:orientation val="minMax"/>
        </c:scaling>
        <c:axPos val="l"/>
        <c:majorGridlines/>
        <c:title>
          <c:tx>
            <c:rich>
              <a:bodyPr/>
              <a:lstStyle/>
              <a:p>
                <a:pPr>
                  <a:defRPr/>
                </a:pPr>
                <a:r>
                  <a:rPr lang="es-ES"/>
                  <a:t>Energía [MWh]</a:t>
                </a:r>
              </a:p>
            </c:rich>
          </c:tx>
        </c:title>
        <c:numFmt formatCode="#,##0" sourceLinked="1"/>
        <c:majorTickMark val="none"/>
        <c:tickLblPos val="nextTo"/>
        <c:crossAx val="88038016"/>
        <c:crosses val="autoZero"/>
        <c:crossBetween val="midCat"/>
      </c:valAx>
    </c:plotArea>
    <c:legend>
      <c:legendPos val="t"/>
    </c:legend>
    <c:plotVisOnly val="1"/>
  </c:chart>
  <c:printSettings>
    <c:headerFooter/>
    <c:pageMargins b="0.750000000000006" l="0.70000000000000062" r="0.70000000000000062" t="0.75000000000000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6</xdr:col>
      <xdr:colOff>274864</xdr:colOff>
      <xdr:row>3</xdr:row>
      <xdr:rowOff>0</xdr:rowOff>
    </xdr:from>
    <xdr:to>
      <xdr:col>20</xdr:col>
      <xdr:colOff>438150</xdr:colOff>
      <xdr:row>19</xdr:row>
      <xdr:rowOff>285750</xdr:rowOff>
    </xdr:to>
    <xdr:pic>
      <xdr:nvPicPr>
        <xdr:cNvPr id="1025" name="Picture 1"/>
        <xdr:cNvPicPr>
          <a:picLocks noChangeAspect="1" noChangeArrowheads="1"/>
        </xdr:cNvPicPr>
      </xdr:nvPicPr>
      <xdr:blipFill>
        <a:blip xmlns:r="http://schemas.openxmlformats.org/officeDocument/2006/relationships" r:embed="rId1" cstate="print"/>
        <a:srcRect l="8712" t="18229" r="30673" b="16146"/>
        <a:stretch>
          <a:fillRect/>
        </a:stretch>
      </xdr:blipFill>
      <xdr:spPr bwMode="auto">
        <a:xfrm>
          <a:off x="5904139" y="581025"/>
          <a:ext cx="9764486" cy="594360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419099</xdr:colOff>
      <xdr:row>1</xdr:row>
      <xdr:rowOff>19050</xdr:rowOff>
    </xdr:from>
    <xdr:to>
      <xdr:col>20</xdr:col>
      <xdr:colOff>257174</xdr:colOff>
      <xdr:row>18</xdr:row>
      <xdr:rowOff>114300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428624</xdr:colOff>
      <xdr:row>19</xdr:row>
      <xdr:rowOff>142875</xdr:rowOff>
    </xdr:from>
    <xdr:to>
      <xdr:col>20</xdr:col>
      <xdr:colOff>266700</xdr:colOff>
      <xdr:row>42</xdr:row>
      <xdr:rowOff>161925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xdr:colOff>
      <xdr:row>2</xdr:row>
      <xdr:rowOff>361950</xdr:rowOff>
    </xdr:from>
    <xdr:to>
      <xdr:col>21</xdr:col>
      <xdr:colOff>180975</xdr:colOff>
      <xdr:row>23</xdr:row>
      <xdr:rowOff>38100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752475</xdr:colOff>
      <xdr:row>24</xdr:row>
      <xdr:rowOff>19050</xdr:rowOff>
    </xdr:from>
    <xdr:to>
      <xdr:col>21</xdr:col>
      <xdr:colOff>161925</xdr:colOff>
      <xdr:row>45</xdr:row>
      <xdr:rowOff>38100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752475</xdr:colOff>
      <xdr:row>46</xdr:row>
      <xdr:rowOff>19050</xdr:rowOff>
    </xdr:from>
    <xdr:to>
      <xdr:col>21</xdr:col>
      <xdr:colOff>161925</xdr:colOff>
      <xdr:row>67</xdr:row>
      <xdr:rowOff>38100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vange/Desktop/ALE/5to%20A&#241;o%20Electrica/PROYECTO%20FINAL/PROYECTO%20(2014)/2.%20PLANIFICACI&#211;N/Planificaci&#243;n%20de%20Actividad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vange/Desktop/ALE/5to%20A&#241;o%20Electrica/PROYECTO%20FINAL/PROYECTO%20(2014)/1.%20ESTUDIO%20DE%20DEMANDA/COOP%20ELECTRICA%20(demandas)/Estimaci&#243;n%20de%20potencia%20y%20energi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Obra UOCRA"/>
      <sheetName val="Recursos"/>
      <sheetName val="Presupuesto M.O."/>
    </sheetNames>
    <sheetDataSet>
      <sheetData sheetId="0"/>
      <sheetData sheetId="1">
        <row r="5">
          <cell r="E5">
            <v>306.2</v>
          </cell>
        </row>
      </sheetData>
      <sheetData sheetId="2">
        <row r="35">
          <cell r="H35">
            <v>233994.0670859539</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MANDA HORARIA PARQUE INDUST."/>
      <sheetName val="ESTIMACIÓN DEM. DE POT MAXIMA"/>
      <sheetName val="ESTIMACIÓN DEM. DE ENERGÍA"/>
    </sheetNames>
    <sheetDataSet>
      <sheetData sheetId="0">
        <row r="61">
          <cell r="B61">
            <v>1.8391999999999999</v>
          </cell>
          <cell r="C61">
            <v>2.145</v>
          </cell>
          <cell r="D61">
            <v>7582.8047724000007</v>
          </cell>
          <cell r="E61">
            <v>2554.2706859999994</v>
          </cell>
          <cell r="F61">
            <v>2926.9535328000011</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F26"/>
  <sheetViews>
    <sheetView workbookViewId="0">
      <selection activeCell="J2" sqref="J2"/>
    </sheetView>
  </sheetViews>
  <sheetFormatPr baseColWidth="10" defaultColWidth="10.28515625" defaultRowHeight="12.75"/>
  <cols>
    <col min="1" max="1" width="9.5703125" style="175" bestFit="1" customWidth="1"/>
    <col min="2" max="2" width="27" style="175" bestFit="1" customWidth="1"/>
    <col min="3" max="3" width="13.85546875" style="175" customWidth="1"/>
    <col min="4" max="4" width="10.42578125" style="175" bestFit="1" customWidth="1"/>
    <col min="5" max="5" width="13.28515625" style="175" bestFit="1" customWidth="1"/>
    <col min="6" max="224" width="10.28515625" style="175"/>
    <col min="225" max="225" width="9.5703125" style="175" bestFit="1" customWidth="1"/>
    <col min="226" max="226" width="27" style="175" bestFit="1" customWidth="1"/>
    <col min="227" max="228" width="10.42578125" style="175" bestFit="1" customWidth="1"/>
    <col min="229" max="229" width="13.28515625" style="175" bestFit="1" customWidth="1"/>
    <col min="230" max="480" width="10.28515625" style="175"/>
    <col min="481" max="481" width="9.5703125" style="175" bestFit="1" customWidth="1"/>
    <col min="482" max="482" width="27" style="175" bestFit="1" customWidth="1"/>
    <col min="483" max="484" width="10.42578125" style="175" bestFit="1" customWidth="1"/>
    <col min="485" max="485" width="13.28515625" style="175" bestFit="1" customWidth="1"/>
    <col min="486" max="736" width="10.28515625" style="175"/>
    <col min="737" max="737" width="9.5703125" style="175" bestFit="1" customWidth="1"/>
    <col min="738" max="738" width="27" style="175" bestFit="1" customWidth="1"/>
    <col min="739" max="740" width="10.42578125" style="175" bestFit="1" customWidth="1"/>
    <col min="741" max="741" width="13.28515625" style="175" bestFit="1" customWidth="1"/>
    <col min="742" max="992" width="10.28515625" style="175"/>
    <col min="993" max="993" width="9.5703125" style="175" bestFit="1" customWidth="1"/>
    <col min="994" max="994" width="27" style="175" bestFit="1" customWidth="1"/>
    <col min="995" max="996" width="10.42578125" style="175" bestFit="1" customWidth="1"/>
    <col min="997" max="997" width="13.28515625" style="175" bestFit="1" customWidth="1"/>
    <col min="998" max="1248" width="10.28515625" style="175"/>
    <col min="1249" max="1249" width="9.5703125" style="175" bestFit="1" customWidth="1"/>
    <col min="1250" max="1250" width="27" style="175" bestFit="1" customWidth="1"/>
    <col min="1251" max="1252" width="10.42578125" style="175" bestFit="1" customWidth="1"/>
    <col min="1253" max="1253" width="13.28515625" style="175" bestFit="1" customWidth="1"/>
    <col min="1254" max="1504" width="10.28515625" style="175"/>
    <col min="1505" max="1505" width="9.5703125" style="175" bestFit="1" customWidth="1"/>
    <col min="1506" max="1506" width="27" style="175" bestFit="1" customWidth="1"/>
    <col min="1507" max="1508" width="10.42578125" style="175" bestFit="1" customWidth="1"/>
    <col min="1509" max="1509" width="13.28515625" style="175" bestFit="1" customWidth="1"/>
    <col min="1510" max="1760" width="10.28515625" style="175"/>
    <col min="1761" max="1761" width="9.5703125" style="175" bestFit="1" customWidth="1"/>
    <col min="1762" max="1762" width="27" style="175" bestFit="1" customWidth="1"/>
    <col min="1763" max="1764" width="10.42578125" style="175" bestFit="1" customWidth="1"/>
    <col min="1765" max="1765" width="13.28515625" style="175" bestFit="1" customWidth="1"/>
    <col min="1766" max="2016" width="10.28515625" style="175"/>
    <col min="2017" max="2017" width="9.5703125" style="175" bestFit="1" customWidth="1"/>
    <col min="2018" max="2018" width="27" style="175" bestFit="1" customWidth="1"/>
    <col min="2019" max="2020" width="10.42578125" style="175" bestFit="1" customWidth="1"/>
    <col min="2021" max="2021" width="13.28515625" style="175" bestFit="1" customWidth="1"/>
    <col min="2022" max="2272" width="10.28515625" style="175"/>
    <col min="2273" max="2273" width="9.5703125" style="175" bestFit="1" customWidth="1"/>
    <col min="2274" max="2274" width="27" style="175" bestFit="1" customWidth="1"/>
    <col min="2275" max="2276" width="10.42578125" style="175" bestFit="1" customWidth="1"/>
    <col min="2277" max="2277" width="13.28515625" style="175" bestFit="1" customWidth="1"/>
    <col min="2278" max="2528" width="10.28515625" style="175"/>
    <col min="2529" max="2529" width="9.5703125" style="175" bestFit="1" customWidth="1"/>
    <col min="2530" max="2530" width="27" style="175" bestFit="1" customWidth="1"/>
    <col min="2531" max="2532" width="10.42578125" style="175" bestFit="1" customWidth="1"/>
    <col min="2533" max="2533" width="13.28515625" style="175" bestFit="1" customWidth="1"/>
    <col min="2534" max="2784" width="10.28515625" style="175"/>
    <col min="2785" max="2785" width="9.5703125" style="175" bestFit="1" customWidth="1"/>
    <col min="2786" max="2786" width="27" style="175" bestFit="1" customWidth="1"/>
    <col min="2787" max="2788" width="10.42578125" style="175" bestFit="1" customWidth="1"/>
    <col min="2789" max="2789" width="13.28515625" style="175" bestFit="1" customWidth="1"/>
    <col min="2790" max="3040" width="10.28515625" style="175"/>
    <col min="3041" max="3041" width="9.5703125" style="175" bestFit="1" customWidth="1"/>
    <col min="3042" max="3042" width="27" style="175" bestFit="1" customWidth="1"/>
    <col min="3043" max="3044" width="10.42578125" style="175" bestFit="1" customWidth="1"/>
    <col min="3045" max="3045" width="13.28515625" style="175" bestFit="1" customWidth="1"/>
    <col min="3046" max="3296" width="10.28515625" style="175"/>
    <col min="3297" max="3297" width="9.5703125" style="175" bestFit="1" customWidth="1"/>
    <col min="3298" max="3298" width="27" style="175" bestFit="1" customWidth="1"/>
    <col min="3299" max="3300" width="10.42578125" style="175" bestFit="1" customWidth="1"/>
    <col min="3301" max="3301" width="13.28515625" style="175" bestFit="1" customWidth="1"/>
    <col min="3302" max="3552" width="10.28515625" style="175"/>
    <col min="3553" max="3553" width="9.5703125" style="175" bestFit="1" customWidth="1"/>
    <col min="3554" max="3554" width="27" style="175" bestFit="1" customWidth="1"/>
    <col min="3555" max="3556" width="10.42578125" style="175" bestFit="1" customWidth="1"/>
    <col min="3557" max="3557" width="13.28515625" style="175" bestFit="1" customWidth="1"/>
    <col min="3558" max="3808" width="10.28515625" style="175"/>
    <col min="3809" max="3809" width="9.5703125" style="175" bestFit="1" customWidth="1"/>
    <col min="3810" max="3810" width="27" style="175" bestFit="1" customWidth="1"/>
    <col min="3811" max="3812" width="10.42578125" style="175" bestFit="1" customWidth="1"/>
    <col min="3813" max="3813" width="13.28515625" style="175" bestFit="1" customWidth="1"/>
    <col min="3814" max="4064" width="10.28515625" style="175"/>
    <col min="4065" max="4065" width="9.5703125" style="175" bestFit="1" customWidth="1"/>
    <col min="4066" max="4066" width="27" style="175" bestFit="1" customWidth="1"/>
    <col min="4067" max="4068" width="10.42578125" style="175" bestFit="1" customWidth="1"/>
    <col min="4069" max="4069" width="13.28515625" style="175" bestFit="1" customWidth="1"/>
    <col min="4070" max="4320" width="10.28515625" style="175"/>
    <col min="4321" max="4321" width="9.5703125" style="175" bestFit="1" customWidth="1"/>
    <col min="4322" max="4322" width="27" style="175" bestFit="1" customWidth="1"/>
    <col min="4323" max="4324" width="10.42578125" style="175" bestFit="1" customWidth="1"/>
    <col min="4325" max="4325" width="13.28515625" style="175" bestFit="1" customWidth="1"/>
    <col min="4326" max="4576" width="10.28515625" style="175"/>
    <col min="4577" max="4577" width="9.5703125" style="175" bestFit="1" customWidth="1"/>
    <col min="4578" max="4578" width="27" style="175" bestFit="1" customWidth="1"/>
    <col min="4579" max="4580" width="10.42578125" style="175" bestFit="1" customWidth="1"/>
    <col min="4581" max="4581" width="13.28515625" style="175" bestFit="1" customWidth="1"/>
    <col min="4582" max="4832" width="10.28515625" style="175"/>
    <col min="4833" max="4833" width="9.5703125" style="175" bestFit="1" customWidth="1"/>
    <col min="4834" max="4834" width="27" style="175" bestFit="1" customWidth="1"/>
    <col min="4835" max="4836" width="10.42578125" style="175" bestFit="1" customWidth="1"/>
    <col min="4837" max="4837" width="13.28515625" style="175" bestFit="1" customWidth="1"/>
    <col min="4838" max="5088" width="10.28515625" style="175"/>
    <col min="5089" max="5089" width="9.5703125" style="175" bestFit="1" customWidth="1"/>
    <col min="5090" max="5090" width="27" style="175" bestFit="1" customWidth="1"/>
    <col min="5091" max="5092" width="10.42578125" style="175" bestFit="1" customWidth="1"/>
    <col min="5093" max="5093" width="13.28515625" style="175" bestFit="1" customWidth="1"/>
    <col min="5094" max="5344" width="10.28515625" style="175"/>
    <col min="5345" max="5345" width="9.5703125" style="175" bestFit="1" customWidth="1"/>
    <col min="5346" max="5346" width="27" style="175" bestFit="1" customWidth="1"/>
    <col min="5347" max="5348" width="10.42578125" style="175" bestFit="1" customWidth="1"/>
    <col min="5349" max="5349" width="13.28515625" style="175" bestFit="1" customWidth="1"/>
    <col min="5350" max="5600" width="10.28515625" style="175"/>
    <col min="5601" max="5601" width="9.5703125" style="175" bestFit="1" customWidth="1"/>
    <col min="5602" max="5602" width="27" style="175" bestFit="1" customWidth="1"/>
    <col min="5603" max="5604" width="10.42578125" style="175" bestFit="1" customWidth="1"/>
    <col min="5605" max="5605" width="13.28515625" style="175" bestFit="1" customWidth="1"/>
    <col min="5606" max="5856" width="10.28515625" style="175"/>
    <col min="5857" max="5857" width="9.5703125" style="175" bestFit="1" customWidth="1"/>
    <col min="5858" max="5858" width="27" style="175" bestFit="1" customWidth="1"/>
    <col min="5859" max="5860" width="10.42578125" style="175" bestFit="1" customWidth="1"/>
    <col min="5861" max="5861" width="13.28515625" style="175" bestFit="1" customWidth="1"/>
    <col min="5862" max="6112" width="10.28515625" style="175"/>
    <col min="6113" max="6113" width="9.5703125" style="175" bestFit="1" customWidth="1"/>
    <col min="6114" max="6114" width="27" style="175" bestFit="1" customWidth="1"/>
    <col min="6115" max="6116" width="10.42578125" style="175" bestFit="1" customWidth="1"/>
    <col min="6117" max="6117" width="13.28515625" style="175" bestFit="1" customWidth="1"/>
    <col min="6118" max="6368" width="10.28515625" style="175"/>
    <col min="6369" max="6369" width="9.5703125" style="175" bestFit="1" customWidth="1"/>
    <col min="6370" max="6370" width="27" style="175" bestFit="1" customWidth="1"/>
    <col min="6371" max="6372" width="10.42578125" style="175" bestFit="1" customWidth="1"/>
    <col min="6373" max="6373" width="13.28515625" style="175" bestFit="1" customWidth="1"/>
    <col min="6374" max="6624" width="10.28515625" style="175"/>
    <col min="6625" max="6625" width="9.5703125" style="175" bestFit="1" customWidth="1"/>
    <col min="6626" max="6626" width="27" style="175" bestFit="1" customWidth="1"/>
    <col min="6627" max="6628" width="10.42578125" style="175" bestFit="1" customWidth="1"/>
    <col min="6629" max="6629" width="13.28515625" style="175" bestFit="1" customWidth="1"/>
    <col min="6630" max="6880" width="10.28515625" style="175"/>
    <col min="6881" max="6881" width="9.5703125" style="175" bestFit="1" customWidth="1"/>
    <col min="6882" max="6882" width="27" style="175" bestFit="1" customWidth="1"/>
    <col min="6883" max="6884" width="10.42578125" style="175" bestFit="1" customWidth="1"/>
    <col min="6885" max="6885" width="13.28515625" style="175" bestFit="1" customWidth="1"/>
    <col min="6886" max="7136" width="10.28515625" style="175"/>
    <col min="7137" max="7137" width="9.5703125" style="175" bestFit="1" customWidth="1"/>
    <col min="7138" max="7138" width="27" style="175" bestFit="1" customWidth="1"/>
    <col min="7139" max="7140" width="10.42578125" style="175" bestFit="1" customWidth="1"/>
    <col min="7141" max="7141" width="13.28515625" style="175" bestFit="1" customWidth="1"/>
    <col min="7142" max="7392" width="10.28515625" style="175"/>
    <col min="7393" max="7393" width="9.5703125" style="175" bestFit="1" customWidth="1"/>
    <col min="7394" max="7394" width="27" style="175" bestFit="1" customWidth="1"/>
    <col min="7395" max="7396" width="10.42578125" style="175" bestFit="1" customWidth="1"/>
    <col min="7397" max="7397" width="13.28515625" style="175" bestFit="1" customWidth="1"/>
    <col min="7398" max="7648" width="10.28515625" style="175"/>
    <col min="7649" max="7649" width="9.5703125" style="175" bestFit="1" customWidth="1"/>
    <col min="7650" max="7650" width="27" style="175" bestFit="1" customWidth="1"/>
    <col min="7651" max="7652" width="10.42578125" style="175" bestFit="1" customWidth="1"/>
    <col min="7653" max="7653" width="13.28515625" style="175" bestFit="1" customWidth="1"/>
    <col min="7654" max="7904" width="10.28515625" style="175"/>
    <col min="7905" max="7905" width="9.5703125" style="175" bestFit="1" customWidth="1"/>
    <col min="7906" max="7906" width="27" style="175" bestFit="1" customWidth="1"/>
    <col min="7907" max="7908" width="10.42578125" style="175" bestFit="1" customWidth="1"/>
    <col min="7909" max="7909" width="13.28515625" style="175" bestFit="1" customWidth="1"/>
    <col min="7910" max="8160" width="10.28515625" style="175"/>
    <col min="8161" max="8161" width="9.5703125" style="175" bestFit="1" customWidth="1"/>
    <col min="8162" max="8162" width="27" style="175" bestFit="1" customWidth="1"/>
    <col min="8163" max="8164" width="10.42578125" style="175" bestFit="1" customWidth="1"/>
    <col min="8165" max="8165" width="13.28515625" style="175" bestFit="1" customWidth="1"/>
    <col min="8166" max="8416" width="10.28515625" style="175"/>
    <col min="8417" max="8417" width="9.5703125" style="175" bestFit="1" customWidth="1"/>
    <col min="8418" max="8418" width="27" style="175" bestFit="1" customWidth="1"/>
    <col min="8419" max="8420" width="10.42578125" style="175" bestFit="1" customWidth="1"/>
    <col min="8421" max="8421" width="13.28515625" style="175" bestFit="1" customWidth="1"/>
    <col min="8422" max="8672" width="10.28515625" style="175"/>
    <col min="8673" max="8673" width="9.5703125" style="175" bestFit="1" customWidth="1"/>
    <col min="8674" max="8674" width="27" style="175" bestFit="1" customWidth="1"/>
    <col min="8675" max="8676" width="10.42578125" style="175" bestFit="1" customWidth="1"/>
    <col min="8677" max="8677" width="13.28515625" style="175" bestFit="1" customWidth="1"/>
    <col min="8678" max="8928" width="10.28515625" style="175"/>
    <col min="8929" max="8929" width="9.5703125" style="175" bestFit="1" customWidth="1"/>
    <col min="8930" max="8930" width="27" style="175" bestFit="1" customWidth="1"/>
    <col min="8931" max="8932" width="10.42578125" style="175" bestFit="1" customWidth="1"/>
    <col min="8933" max="8933" width="13.28515625" style="175" bestFit="1" customWidth="1"/>
    <col min="8934" max="9184" width="10.28515625" style="175"/>
    <col min="9185" max="9185" width="9.5703125" style="175" bestFit="1" customWidth="1"/>
    <col min="9186" max="9186" width="27" style="175" bestFit="1" customWidth="1"/>
    <col min="9187" max="9188" width="10.42578125" style="175" bestFit="1" customWidth="1"/>
    <col min="9189" max="9189" width="13.28515625" style="175" bestFit="1" customWidth="1"/>
    <col min="9190" max="9440" width="10.28515625" style="175"/>
    <col min="9441" max="9441" width="9.5703125" style="175" bestFit="1" customWidth="1"/>
    <col min="9442" max="9442" width="27" style="175" bestFit="1" customWidth="1"/>
    <col min="9443" max="9444" width="10.42578125" style="175" bestFit="1" customWidth="1"/>
    <col min="9445" max="9445" width="13.28515625" style="175" bestFit="1" customWidth="1"/>
    <col min="9446" max="9696" width="10.28515625" style="175"/>
    <col min="9697" max="9697" width="9.5703125" style="175" bestFit="1" customWidth="1"/>
    <col min="9698" max="9698" width="27" style="175" bestFit="1" customWidth="1"/>
    <col min="9699" max="9700" width="10.42578125" style="175" bestFit="1" customWidth="1"/>
    <col min="9701" max="9701" width="13.28515625" style="175" bestFit="1" customWidth="1"/>
    <col min="9702" max="9952" width="10.28515625" style="175"/>
    <col min="9953" max="9953" width="9.5703125" style="175" bestFit="1" customWidth="1"/>
    <col min="9954" max="9954" width="27" style="175" bestFit="1" customWidth="1"/>
    <col min="9955" max="9956" width="10.42578125" style="175" bestFit="1" customWidth="1"/>
    <col min="9957" max="9957" width="13.28515625" style="175" bestFit="1" customWidth="1"/>
    <col min="9958" max="10208" width="10.28515625" style="175"/>
    <col min="10209" max="10209" width="9.5703125" style="175" bestFit="1" customWidth="1"/>
    <col min="10210" max="10210" width="27" style="175" bestFit="1" customWidth="1"/>
    <col min="10211" max="10212" width="10.42578125" style="175" bestFit="1" customWidth="1"/>
    <col min="10213" max="10213" width="13.28515625" style="175" bestFit="1" customWidth="1"/>
    <col min="10214" max="10464" width="10.28515625" style="175"/>
    <col min="10465" max="10465" width="9.5703125" style="175" bestFit="1" customWidth="1"/>
    <col min="10466" max="10466" width="27" style="175" bestFit="1" customWidth="1"/>
    <col min="10467" max="10468" width="10.42578125" style="175" bestFit="1" customWidth="1"/>
    <col min="10469" max="10469" width="13.28515625" style="175" bestFit="1" customWidth="1"/>
    <col min="10470" max="10720" width="10.28515625" style="175"/>
    <col min="10721" max="10721" width="9.5703125" style="175" bestFit="1" customWidth="1"/>
    <col min="10722" max="10722" width="27" style="175" bestFit="1" customWidth="1"/>
    <col min="10723" max="10724" width="10.42578125" style="175" bestFit="1" customWidth="1"/>
    <col min="10725" max="10725" width="13.28515625" style="175" bestFit="1" customWidth="1"/>
    <col min="10726" max="10976" width="10.28515625" style="175"/>
    <col min="10977" max="10977" width="9.5703125" style="175" bestFit="1" customWidth="1"/>
    <col min="10978" max="10978" width="27" style="175" bestFit="1" customWidth="1"/>
    <col min="10979" max="10980" width="10.42578125" style="175" bestFit="1" customWidth="1"/>
    <col min="10981" max="10981" width="13.28515625" style="175" bestFit="1" customWidth="1"/>
    <col min="10982" max="11232" width="10.28515625" style="175"/>
    <col min="11233" max="11233" width="9.5703125" style="175" bestFit="1" customWidth="1"/>
    <col min="11234" max="11234" width="27" style="175" bestFit="1" customWidth="1"/>
    <col min="11235" max="11236" width="10.42578125" style="175" bestFit="1" customWidth="1"/>
    <col min="11237" max="11237" width="13.28515625" style="175" bestFit="1" customWidth="1"/>
    <col min="11238" max="11488" width="10.28515625" style="175"/>
    <col min="11489" max="11489" width="9.5703125" style="175" bestFit="1" customWidth="1"/>
    <col min="11490" max="11490" width="27" style="175" bestFit="1" customWidth="1"/>
    <col min="11491" max="11492" width="10.42578125" style="175" bestFit="1" customWidth="1"/>
    <col min="11493" max="11493" width="13.28515625" style="175" bestFit="1" customWidth="1"/>
    <col min="11494" max="11744" width="10.28515625" style="175"/>
    <col min="11745" max="11745" width="9.5703125" style="175" bestFit="1" customWidth="1"/>
    <col min="11746" max="11746" width="27" style="175" bestFit="1" customWidth="1"/>
    <col min="11747" max="11748" width="10.42578125" style="175" bestFit="1" customWidth="1"/>
    <col min="11749" max="11749" width="13.28515625" style="175" bestFit="1" customWidth="1"/>
    <col min="11750" max="12000" width="10.28515625" style="175"/>
    <col min="12001" max="12001" width="9.5703125" style="175" bestFit="1" customWidth="1"/>
    <col min="12002" max="12002" width="27" style="175" bestFit="1" customWidth="1"/>
    <col min="12003" max="12004" width="10.42578125" style="175" bestFit="1" customWidth="1"/>
    <col min="12005" max="12005" width="13.28515625" style="175" bestFit="1" customWidth="1"/>
    <col min="12006" max="12256" width="10.28515625" style="175"/>
    <col min="12257" max="12257" width="9.5703125" style="175" bestFit="1" customWidth="1"/>
    <col min="12258" max="12258" width="27" style="175" bestFit="1" customWidth="1"/>
    <col min="12259" max="12260" width="10.42578125" style="175" bestFit="1" customWidth="1"/>
    <col min="12261" max="12261" width="13.28515625" style="175" bestFit="1" customWidth="1"/>
    <col min="12262" max="12512" width="10.28515625" style="175"/>
    <col min="12513" max="12513" width="9.5703125" style="175" bestFit="1" customWidth="1"/>
    <col min="12514" max="12514" width="27" style="175" bestFit="1" customWidth="1"/>
    <col min="12515" max="12516" width="10.42578125" style="175" bestFit="1" customWidth="1"/>
    <col min="12517" max="12517" width="13.28515625" style="175" bestFit="1" customWidth="1"/>
    <col min="12518" max="12768" width="10.28515625" style="175"/>
    <col min="12769" max="12769" width="9.5703125" style="175" bestFit="1" customWidth="1"/>
    <col min="12770" max="12770" width="27" style="175" bestFit="1" customWidth="1"/>
    <col min="12771" max="12772" width="10.42578125" style="175" bestFit="1" customWidth="1"/>
    <col min="12773" max="12773" width="13.28515625" style="175" bestFit="1" customWidth="1"/>
    <col min="12774" max="13024" width="10.28515625" style="175"/>
    <col min="13025" max="13025" width="9.5703125" style="175" bestFit="1" customWidth="1"/>
    <col min="13026" max="13026" width="27" style="175" bestFit="1" customWidth="1"/>
    <col min="13027" max="13028" width="10.42578125" style="175" bestFit="1" customWidth="1"/>
    <col min="13029" max="13029" width="13.28515625" style="175" bestFit="1" customWidth="1"/>
    <col min="13030" max="13280" width="10.28515625" style="175"/>
    <col min="13281" max="13281" width="9.5703125" style="175" bestFit="1" customWidth="1"/>
    <col min="13282" max="13282" width="27" style="175" bestFit="1" customWidth="1"/>
    <col min="13283" max="13284" width="10.42578125" style="175" bestFit="1" customWidth="1"/>
    <col min="13285" max="13285" width="13.28515625" style="175" bestFit="1" customWidth="1"/>
    <col min="13286" max="13536" width="10.28515625" style="175"/>
    <col min="13537" max="13537" width="9.5703125" style="175" bestFit="1" customWidth="1"/>
    <col min="13538" max="13538" width="27" style="175" bestFit="1" customWidth="1"/>
    <col min="13539" max="13540" width="10.42578125" style="175" bestFit="1" customWidth="1"/>
    <col min="13541" max="13541" width="13.28515625" style="175" bestFit="1" customWidth="1"/>
    <col min="13542" max="13792" width="10.28515625" style="175"/>
    <col min="13793" max="13793" width="9.5703125" style="175" bestFit="1" customWidth="1"/>
    <col min="13794" max="13794" width="27" style="175" bestFit="1" customWidth="1"/>
    <col min="13795" max="13796" width="10.42578125" style="175" bestFit="1" customWidth="1"/>
    <col min="13797" max="13797" width="13.28515625" style="175" bestFit="1" customWidth="1"/>
    <col min="13798" max="14048" width="10.28515625" style="175"/>
    <col min="14049" max="14049" width="9.5703125" style="175" bestFit="1" customWidth="1"/>
    <col min="14050" max="14050" width="27" style="175" bestFit="1" customWidth="1"/>
    <col min="14051" max="14052" width="10.42578125" style="175" bestFit="1" customWidth="1"/>
    <col min="14053" max="14053" width="13.28515625" style="175" bestFit="1" customWidth="1"/>
    <col min="14054" max="14304" width="10.28515625" style="175"/>
    <col min="14305" max="14305" width="9.5703125" style="175" bestFit="1" customWidth="1"/>
    <col min="14306" max="14306" width="27" style="175" bestFit="1" customWidth="1"/>
    <col min="14307" max="14308" width="10.42578125" style="175" bestFit="1" customWidth="1"/>
    <col min="14309" max="14309" width="13.28515625" style="175" bestFit="1" customWidth="1"/>
    <col min="14310" max="14560" width="10.28515625" style="175"/>
    <col min="14561" max="14561" width="9.5703125" style="175" bestFit="1" customWidth="1"/>
    <col min="14562" max="14562" width="27" style="175" bestFit="1" customWidth="1"/>
    <col min="14563" max="14564" width="10.42578125" style="175" bestFit="1" customWidth="1"/>
    <col min="14565" max="14565" width="13.28515625" style="175" bestFit="1" customWidth="1"/>
    <col min="14566" max="14816" width="10.28515625" style="175"/>
    <col min="14817" max="14817" width="9.5703125" style="175" bestFit="1" customWidth="1"/>
    <col min="14818" max="14818" width="27" style="175" bestFit="1" customWidth="1"/>
    <col min="14819" max="14820" width="10.42578125" style="175" bestFit="1" customWidth="1"/>
    <col min="14821" max="14821" width="13.28515625" style="175" bestFit="1" customWidth="1"/>
    <col min="14822" max="15072" width="10.28515625" style="175"/>
    <col min="15073" max="15073" width="9.5703125" style="175" bestFit="1" customWidth="1"/>
    <col min="15074" max="15074" width="27" style="175" bestFit="1" customWidth="1"/>
    <col min="15075" max="15076" width="10.42578125" style="175" bestFit="1" customWidth="1"/>
    <col min="15077" max="15077" width="13.28515625" style="175" bestFit="1" customWidth="1"/>
    <col min="15078" max="15328" width="10.28515625" style="175"/>
    <col min="15329" max="15329" width="9.5703125" style="175" bestFit="1" customWidth="1"/>
    <col min="15330" max="15330" width="27" style="175" bestFit="1" customWidth="1"/>
    <col min="15331" max="15332" width="10.42578125" style="175" bestFit="1" customWidth="1"/>
    <col min="15333" max="15333" width="13.28515625" style="175" bestFit="1" customWidth="1"/>
    <col min="15334" max="15584" width="10.28515625" style="175"/>
    <col min="15585" max="15585" width="9.5703125" style="175" bestFit="1" customWidth="1"/>
    <col min="15586" max="15586" width="27" style="175" bestFit="1" customWidth="1"/>
    <col min="15587" max="15588" width="10.42578125" style="175" bestFit="1" customWidth="1"/>
    <col min="15589" max="15589" width="13.28515625" style="175" bestFit="1" customWidth="1"/>
    <col min="15590" max="15840" width="10.28515625" style="175"/>
    <col min="15841" max="15841" width="9.5703125" style="175" bestFit="1" customWidth="1"/>
    <col min="15842" max="15842" width="27" style="175" bestFit="1" customWidth="1"/>
    <col min="15843" max="15844" width="10.42578125" style="175" bestFit="1" customWidth="1"/>
    <col min="15845" max="15845" width="13.28515625" style="175" bestFit="1" customWidth="1"/>
    <col min="15846" max="16096" width="10.28515625" style="175"/>
    <col min="16097" max="16097" width="9.5703125" style="175" bestFit="1" customWidth="1"/>
    <col min="16098" max="16098" width="27" style="175" bestFit="1" customWidth="1"/>
    <col min="16099" max="16100" width="10.42578125" style="175" bestFit="1" customWidth="1"/>
    <col min="16101" max="16101" width="13.28515625" style="175" bestFit="1" customWidth="1"/>
    <col min="16102" max="16384" width="10.28515625" style="175"/>
  </cols>
  <sheetData>
    <row r="1" spans="1:6" ht="13.5" thickBot="1"/>
    <row r="2" spans="1:6" ht="19.5" customHeight="1" thickBot="1">
      <c r="A2" s="444" t="s">
        <v>474</v>
      </c>
      <c r="B2" s="445"/>
      <c r="C2" s="445"/>
      <c r="D2" s="445"/>
      <c r="E2" s="445"/>
      <c r="F2" s="446"/>
    </row>
    <row r="4" spans="1:6" ht="33" customHeight="1">
      <c r="A4" s="442" t="s">
        <v>324</v>
      </c>
      <c r="B4" s="442"/>
      <c r="C4" s="442"/>
      <c r="D4" s="442"/>
      <c r="E4" s="442"/>
      <c r="F4" s="442"/>
    </row>
    <row r="5" spans="1:6" ht="33" customHeight="1">
      <c r="A5" s="176">
        <v>0</v>
      </c>
      <c r="B5" s="176" t="s">
        <v>325</v>
      </c>
      <c r="C5" s="177">
        <v>59.13</v>
      </c>
      <c r="D5" s="176" t="s">
        <v>326</v>
      </c>
      <c r="E5" s="176">
        <f>+A5*C5</f>
        <v>0</v>
      </c>
      <c r="F5" s="176" t="s">
        <v>327</v>
      </c>
    </row>
    <row r="6" spans="1:6" ht="33" customHeight="1">
      <c r="A6" s="176">
        <v>0</v>
      </c>
      <c r="B6" s="176" t="s">
        <v>328</v>
      </c>
      <c r="C6" s="176">
        <v>50.41</v>
      </c>
      <c r="D6" s="176" t="s">
        <v>326</v>
      </c>
      <c r="E6" s="176">
        <f>+A6*C6</f>
        <v>0</v>
      </c>
      <c r="F6" s="176" t="s">
        <v>327</v>
      </c>
    </row>
    <row r="7" spans="1:6" ht="33" customHeight="1">
      <c r="A7" s="176">
        <v>0</v>
      </c>
      <c r="B7" s="176" t="s">
        <v>329</v>
      </c>
      <c r="C7" s="176">
        <v>46.39</v>
      </c>
      <c r="D7" s="176" t="s">
        <v>326</v>
      </c>
      <c r="E7" s="176">
        <f>+A7*C7</f>
        <v>0</v>
      </c>
      <c r="F7" s="176" t="s">
        <v>327</v>
      </c>
    </row>
    <row r="8" spans="1:6" ht="33" customHeight="1">
      <c r="A8" s="176">
        <v>1</v>
      </c>
      <c r="B8" s="176" t="s">
        <v>330</v>
      </c>
      <c r="C8" s="176">
        <v>42.84</v>
      </c>
      <c r="D8" s="176" t="s">
        <v>326</v>
      </c>
      <c r="E8" s="176">
        <f>+A8*C8</f>
        <v>42.84</v>
      </c>
      <c r="F8" s="176" t="s">
        <v>327</v>
      </c>
    </row>
    <row r="9" spans="1:6" ht="16.5" customHeight="1">
      <c r="A9" s="176" t="s">
        <v>208</v>
      </c>
      <c r="B9" s="176"/>
      <c r="C9" s="176"/>
      <c r="D9" s="176"/>
      <c r="E9" s="176"/>
      <c r="F9" s="176"/>
    </row>
    <row r="10" spans="1:6" ht="33" customHeight="1">
      <c r="A10" s="176"/>
      <c r="B10" s="176" t="s">
        <v>331</v>
      </c>
      <c r="C10" s="176"/>
      <c r="D10" s="176"/>
      <c r="E10" s="176">
        <f>SUM(E5:E9)</f>
        <v>42.84</v>
      </c>
      <c r="F10" s="176" t="s">
        <v>327</v>
      </c>
    </row>
    <row r="11" spans="1:6" ht="33" customHeight="1">
      <c r="A11" s="176"/>
      <c r="B11" s="176" t="s">
        <v>332</v>
      </c>
      <c r="C11" s="176"/>
      <c r="D11" s="176">
        <v>0.2</v>
      </c>
      <c r="E11" s="176">
        <f>+E10*D11</f>
        <v>8.5680000000000014</v>
      </c>
      <c r="F11" s="176" t="s">
        <v>327</v>
      </c>
    </row>
    <row r="12" spans="1:6" ht="33" customHeight="1">
      <c r="A12" s="176"/>
      <c r="B12" s="176" t="s">
        <v>333</v>
      </c>
      <c r="C12" s="176"/>
      <c r="D12" s="176">
        <v>0.03</v>
      </c>
      <c r="E12" s="176">
        <f>+E10*D12</f>
        <v>1.2852000000000001</v>
      </c>
      <c r="F12" s="176" t="s">
        <v>327</v>
      </c>
    </row>
    <row r="13" spans="1:6" ht="33" customHeight="1">
      <c r="A13" s="176"/>
      <c r="B13" s="176" t="s">
        <v>334</v>
      </c>
      <c r="C13" s="176"/>
      <c r="D13" s="176">
        <v>0.98</v>
      </c>
      <c r="E13" s="176">
        <f>+E10*D13</f>
        <v>41.983200000000004</v>
      </c>
      <c r="F13" s="176" t="s">
        <v>327</v>
      </c>
    </row>
    <row r="14" spans="1:6" ht="33" customHeight="1">
      <c r="A14" s="176"/>
      <c r="B14" s="176" t="s">
        <v>335</v>
      </c>
      <c r="C14" s="176"/>
      <c r="D14" s="176">
        <v>0.25</v>
      </c>
      <c r="E14" s="176">
        <f>+E10*D14</f>
        <v>10.71</v>
      </c>
      <c r="F14" s="176" t="s">
        <v>327</v>
      </c>
    </row>
    <row r="15" spans="1:6" ht="33" customHeight="1">
      <c r="A15" s="176"/>
      <c r="B15" s="176" t="s">
        <v>336</v>
      </c>
      <c r="C15" s="176"/>
      <c r="D15" s="176"/>
      <c r="E15" s="176">
        <v>6</v>
      </c>
      <c r="F15" s="176" t="s">
        <v>327</v>
      </c>
    </row>
    <row r="16" spans="1:6" ht="16.5" customHeight="1">
      <c r="A16" s="176"/>
      <c r="B16" s="176" t="s">
        <v>337</v>
      </c>
      <c r="C16" s="176"/>
      <c r="D16" s="176"/>
      <c r="E16" s="176">
        <f>3385/(30*8)</f>
        <v>14.104166666666666</v>
      </c>
      <c r="F16" s="176"/>
    </row>
    <row r="17" spans="1:6" ht="16.5" customHeight="1">
      <c r="A17" s="176"/>
      <c r="B17" s="176"/>
      <c r="C17" s="176"/>
      <c r="D17" s="176"/>
      <c r="E17" s="176"/>
      <c r="F17" s="176"/>
    </row>
    <row r="18" spans="1:6" ht="16.5" customHeight="1">
      <c r="A18" s="176"/>
      <c r="B18" s="176"/>
      <c r="C18" s="176"/>
      <c r="D18" s="176"/>
      <c r="E18" s="176"/>
      <c r="F18" s="176"/>
    </row>
    <row r="19" spans="1:6" ht="16.5" customHeight="1">
      <c r="A19" s="176"/>
      <c r="B19" s="176"/>
      <c r="C19" s="176"/>
      <c r="D19" s="176"/>
      <c r="E19" s="176"/>
      <c r="F19" s="176"/>
    </row>
    <row r="20" spans="1:6" ht="33" customHeight="1">
      <c r="A20" s="176"/>
      <c r="B20" s="176" t="s">
        <v>338</v>
      </c>
      <c r="C20" s="176"/>
      <c r="D20" s="176"/>
      <c r="E20" s="176">
        <f>SUM(E10:E16)</f>
        <v>125.49056666666668</v>
      </c>
      <c r="F20" s="176" t="s">
        <v>327</v>
      </c>
    </row>
    <row r="21" spans="1:6" ht="16.5" customHeight="1">
      <c r="A21" s="176"/>
      <c r="B21" s="176"/>
      <c r="C21" s="176"/>
      <c r="D21" s="176"/>
      <c r="E21" s="176"/>
      <c r="F21" s="176"/>
    </row>
    <row r="22" spans="1:6" ht="16.5" customHeight="1">
      <c r="A22" s="176"/>
      <c r="B22" s="176"/>
      <c r="C22" s="176"/>
      <c r="D22" s="176"/>
      <c r="E22" s="176"/>
      <c r="F22" s="176"/>
    </row>
    <row r="23" spans="1:6" ht="33" customHeight="1">
      <c r="A23" s="176"/>
      <c r="B23" s="176"/>
      <c r="C23" s="176" t="s">
        <v>339</v>
      </c>
      <c r="D23" s="176"/>
      <c r="E23" s="178">
        <f>$E$20</f>
        <v>125.49056666666668</v>
      </c>
      <c r="F23" s="176" t="s">
        <v>340</v>
      </c>
    </row>
    <row r="24" spans="1:6" ht="16.5" customHeight="1">
      <c r="A24" s="176"/>
      <c r="B24" s="176"/>
      <c r="C24" s="176"/>
      <c r="D24" s="176"/>
      <c r="E24" s="176"/>
      <c r="F24" s="176"/>
    </row>
    <row r="25" spans="1:6" ht="16.5" customHeight="1">
      <c r="A25" s="179"/>
      <c r="B25" s="179"/>
      <c r="C25" s="179"/>
      <c r="D25" s="179"/>
      <c r="E25" s="179"/>
      <c r="F25" s="179"/>
    </row>
    <row r="26" spans="1:6" ht="12.75" customHeight="1">
      <c r="A26" s="443" t="s">
        <v>444</v>
      </c>
      <c r="B26" s="443"/>
      <c r="C26" s="443"/>
      <c r="D26" s="180"/>
      <c r="E26" s="180"/>
      <c r="F26" s="180"/>
    </row>
  </sheetData>
  <mergeCells count="3">
    <mergeCell ref="A4:F4"/>
    <mergeCell ref="A26:C26"/>
    <mergeCell ref="A2:F2"/>
  </mergeCell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L139"/>
  <sheetViews>
    <sheetView topLeftCell="A96" workbookViewId="0">
      <selection activeCell="C116" sqref="C116"/>
    </sheetView>
  </sheetViews>
  <sheetFormatPr baseColWidth="10" defaultRowHeight="15"/>
  <cols>
    <col min="1" max="1" width="11.28515625" customWidth="1"/>
    <col min="2" max="2" width="12.42578125" customWidth="1"/>
    <col min="3" max="3" width="41.28515625" customWidth="1"/>
    <col min="4" max="4" width="16" customWidth="1"/>
    <col min="5" max="5" width="19.42578125" customWidth="1"/>
    <col min="6" max="6" width="16.85546875" customWidth="1"/>
    <col min="7" max="7" width="17.42578125" customWidth="1"/>
    <col min="8" max="8" width="14.5703125" customWidth="1"/>
    <col min="9" max="9" width="33.5703125" customWidth="1"/>
    <col min="10" max="10" width="21.85546875" customWidth="1"/>
    <col min="11" max="11" width="25.85546875" customWidth="1"/>
    <col min="12" max="12" width="22" customWidth="1"/>
    <col min="13" max="13" width="18.5703125" customWidth="1"/>
    <col min="14" max="14" width="19.42578125" customWidth="1"/>
    <col min="15" max="15" width="18" customWidth="1"/>
  </cols>
  <sheetData>
    <row r="1" spans="1:12">
      <c r="A1" s="163"/>
      <c r="B1" s="163"/>
      <c r="C1" s="163"/>
      <c r="D1" s="163"/>
      <c r="E1" s="161"/>
      <c r="G1" s="632"/>
      <c r="H1" s="632"/>
      <c r="I1" s="632"/>
      <c r="J1" s="632"/>
      <c r="K1" s="632"/>
      <c r="L1" s="632"/>
    </row>
    <row r="2" spans="1:12">
      <c r="A2" s="633" t="s">
        <v>480</v>
      </c>
      <c r="B2" s="633"/>
      <c r="C2" s="633"/>
      <c r="D2" s="633"/>
      <c r="E2" s="163"/>
      <c r="G2" s="10"/>
      <c r="H2" s="10"/>
      <c r="I2" s="10"/>
      <c r="J2" s="10"/>
      <c r="K2" s="10"/>
      <c r="L2" s="10"/>
    </row>
    <row r="3" spans="1:12">
      <c r="A3" s="619" t="s">
        <v>481</v>
      </c>
      <c r="B3" s="619"/>
      <c r="C3" s="619"/>
      <c r="D3" s="619"/>
      <c r="E3" s="117"/>
      <c r="G3" s="10"/>
      <c r="H3" s="10"/>
      <c r="I3" s="10"/>
      <c r="J3" s="10"/>
      <c r="K3" s="10"/>
      <c r="L3" s="10"/>
    </row>
    <row r="4" spans="1:12">
      <c r="E4" s="9"/>
      <c r="G4" s="10"/>
      <c r="H4" s="10"/>
      <c r="I4" s="10"/>
      <c r="J4" s="10"/>
      <c r="K4" s="10"/>
      <c r="L4" s="10"/>
    </row>
    <row r="5" spans="1:12" ht="15.75">
      <c r="A5" s="10" t="s">
        <v>284</v>
      </c>
      <c r="D5" s="308">
        <v>1594.45</v>
      </c>
      <c r="G5" s="10"/>
      <c r="H5" s="10"/>
      <c r="I5" s="10"/>
      <c r="J5" s="10"/>
      <c r="K5" s="10"/>
      <c r="L5" s="10"/>
    </row>
    <row r="6" spans="1:12">
      <c r="A6" t="s">
        <v>78</v>
      </c>
      <c r="G6" s="10"/>
      <c r="H6" s="10"/>
      <c r="I6" s="10"/>
      <c r="J6" s="10"/>
      <c r="K6" s="10"/>
      <c r="L6" s="10"/>
    </row>
    <row r="7" spans="1:12">
      <c r="A7" s="14" t="s">
        <v>434</v>
      </c>
      <c r="B7" s="14"/>
      <c r="C7" s="14"/>
      <c r="D7" s="309"/>
      <c r="E7" s="14"/>
      <c r="G7" s="10"/>
      <c r="H7" s="10"/>
      <c r="I7" s="10"/>
      <c r="J7" s="10"/>
      <c r="K7" s="10"/>
      <c r="L7" s="10"/>
    </row>
    <row r="8" spans="1:12">
      <c r="E8" s="42"/>
      <c r="G8" s="10"/>
      <c r="H8" s="10"/>
      <c r="I8" s="10"/>
      <c r="J8" s="10"/>
      <c r="K8" s="10"/>
      <c r="L8" s="10"/>
    </row>
    <row r="9" spans="1:12" ht="15.75">
      <c r="A9" t="s">
        <v>449</v>
      </c>
      <c r="D9" s="308">
        <v>11.04</v>
      </c>
      <c r="G9" s="10"/>
      <c r="H9" s="10"/>
      <c r="I9" s="10"/>
      <c r="J9" s="10"/>
      <c r="K9" s="10"/>
      <c r="L9" s="10"/>
    </row>
    <row r="10" spans="1:12">
      <c r="A10" t="s">
        <v>77</v>
      </c>
      <c r="G10" s="10"/>
      <c r="H10" s="10"/>
      <c r="I10" s="10"/>
      <c r="J10" s="10"/>
      <c r="K10" s="10"/>
      <c r="L10" s="10"/>
    </row>
    <row r="11" spans="1:12">
      <c r="G11" s="10"/>
      <c r="H11" s="10"/>
      <c r="I11" s="10"/>
      <c r="J11" s="10"/>
      <c r="K11" s="10"/>
      <c r="L11" s="10"/>
    </row>
    <row r="12" spans="1:12" ht="15.75">
      <c r="A12" t="s">
        <v>450</v>
      </c>
      <c r="D12" s="308">
        <v>8.42</v>
      </c>
      <c r="G12" s="10"/>
      <c r="H12" s="632"/>
      <c r="I12" s="632"/>
      <c r="J12" s="632"/>
      <c r="K12" s="10"/>
      <c r="L12" s="10"/>
    </row>
    <row r="13" spans="1:12">
      <c r="A13" t="s">
        <v>77</v>
      </c>
      <c r="G13" s="10"/>
      <c r="H13" s="276"/>
      <c r="I13" s="276"/>
      <c r="J13" s="276"/>
      <c r="K13" s="10"/>
      <c r="L13" s="10"/>
    </row>
    <row r="14" spans="1:12">
      <c r="G14" s="10"/>
      <c r="H14" s="276"/>
      <c r="I14" s="10"/>
      <c r="J14" s="10"/>
      <c r="K14" s="10"/>
      <c r="L14" s="10"/>
    </row>
    <row r="15" spans="1:12">
      <c r="A15" t="s">
        <v>283</v>
      </c>
      <c r="D15" s="113"/>
      <c r="G15" s="10"/>
      <c r="H15" s="276"/>
      <c r="I15" s="10"/>
      <c r="J15" s="10"/>
      <c r="K15" s="10"/>
      <c r="L15" s="10"/>
    </row>
    <row r="16" spans="1:12">
      <c r="A16" t="s">
        <v>77</v>
      </c>
      <c r="G16" s="10"/>
      <c r="H16" s="276"/>
      <c r="I16" s="10"/>
      <c r="J16" s="10"/>
      <c r="K16" s="10"/>
      <c r="L16" s="10"/>
    </row>
    <row r="17" spans="1:12">
      <c r="G17" s="10"/>
      <c r="H17" s="276"/>
      <c r="I17" s="10"/>
      <c r="J17" s="10"/>
      <c r="K17" s="10"/>
      <c r="L17" s="10"/>
    </row>
    <row r="18" spans="1:12">
      <c r="A18" s="10" t="s">
        <v>76</v>
      </c>
      <c r="G18" s="10"/>
      <c r="H18" s="276"/>
      <c r="I18" s="10"/>
      <c r="J18" s="10"/>
      <c r="K18" s="10"/>
      <c r="L18" s="10"/>
    </row>
    <row r="19" spans="1:12">
      <c r="G19" s="10"/>
      <c r="H19" s="276"/>
      <c r="I19" s="10"/>
      <c r="J19" s="10"/>
      <c r="K19" s="10"/>
      <c r="L19" s="10"/>
    </row>
    <row r="20" spans="1:12" ht="15.75">
      <c r="A20" t="s">
        <v>452</v>
      </c>
      <c r="D20" s="308">
        <v>0.153</v>
      </c>
      <c r="G20" s="10"/>
      <c r="H20" s="276"/>
      <c r="I20" s="10"/>
      <c r="J20" s="10"/>
      <c r="K20" s="10"/>
      <c r="L20" s="10"/>
    </row>
    <row r="21" spans="1:12">
      <c r="A21" t="s">
        <v>214</v>
      </c>
      <c r="G21" s="10"/>
      <c r="H21" s="276"/>
      <c r="I21" s="10"/>
      <c r="J21" s="10"/>
      <c r="K21" s="10"/>
      <c r="L21" s="10"/>
    </row>
    <row r="22" spans="1:12">
      <c r="B22" s="10"/>
      <c r="G22" s="10"/>
      <c r="H22" s="276"/>
      <c r="I22" s="10"/>
      <c r="J22" s="10"/>
      <c r="K22" s="10"/>
      <c r="L22" s="10"/>
    </row>
    <row r="23" spans="1:12" ht="15.75">
      <c r="A23" t="s">
        <v>285</v>
      </c>
      <c r="D23" s="308">
        <v>0.14199999999999999</v>
      </c>
      <c r="G23" s="10"/>
      <c r="H23" s="276"/>
      <c r="I23" s="10"/>
      <c r="J23" s="10"/>
      <c r="K23" s="10"/>
      <c r="L23" s="10"/>
    </row>
    <row r="24" spans="1:12">
      <c r="A24" t="s">
        <v>215</v>
      </c>
      <c r="G24" s="10"/>
      <c r="H24" s="276"/>
      <c r="I24" s="10"/>
      <c r="J24" s="10"/>
      <c r="K24" s="10"/>
      <c r="L24" s="10"/>
    </row>
    <row r="25" spans="1:12">
      <c r="G25" s="10"/>
      <c r="H25" s="276"/>
      <c r="I25" s="10"/>
      <c r="J25" s="10"/>
      <c r="K25" s="10"/>
      <c r="L25" s="10"/>
    </row>
    <row r="26" spans="1:12" ht="15.75">
      <c r="A26" t="s">
        <v>451</v>
      </c>
      <c r="D26" s="308">
        <v>0.16400000000000001</v>
      </c>
      <c r="G26" s="10"/>
      <c r="H26" s="276"/>
      <c r="I26" s="10"/>
      <c r="J26" s="10"/>
      <c r="K26" s="10"/>
      <c r="L26" s="10"/>
    </row>
    <row r="27" spans="1:12">
      <c r="A27" t="s">
        <v>216</v>
      </c>
      <c r="G27" s="10"/>
      <c r="H27" s="276"/>
      <c r="I27" s="10"/>
      <c r="J27" s="10"/>
      <c r="K27" s="10"/>
      <c r="L27" s="10"/>
    </row>
    <row r="28" spans="1:12">
      <c r="G28" s="10"/>
      <c r="H28" s="276"/>
      <c r="I28" s="10"/>
      <c r="J28" s="10"/>
      <c r="K28" s="10"/>
      <c r="L28" s="10"/>
    </row>
    <row r="29" spans="1:12" ht="15.75">
      <c r="A29" s="96" t="s">
        <v>212</v>
      </c>
      <c r="D29" s="308">
        <v>0.65</v>
      </c>
      <c r="E29" s="96" t="s">
        <v>213</v>
      </c>
    </row>
    <row r="30" spans="1:12">
      <c r="A30" s="96"/>
      <c r="D30" s="40"/>
      <c r="E30" s="96"/>
    </row>
    <row r="31" spans="1:12">
      <c r="A31" s="96"/>
      <c r="D31" s="40"/>
      <c r="E31" s="96"/>
    </row>
    <row r="34" spans="1:11">
      <c r="A34" s="630" t="s">
        <v>432</v>
      </c>
      <c r="B34" s="630"/>
      <c r="C34" s="630"/>
      <c r="D34" s="630"/>
      <c r="E34" s="630"/>
      <c r="F34" s="630"/>
      <c r="G34" s="630"/>
      <c r="H34" s="630"/>
      <c r="I34" s="630"/>
    </row>
    <row r="35" spans="1:11" ht="15" customHeight="1">
      <c r="A35" s="454" t="s">
        <v>79</v>
      </c>
      <c r="B35" s="462" t="s">
        <v>211</v>
      </c>
      <c r="C35" s="619" t="s">
        <v>80</v>
      </c>
      <c r="D35" s="619"/>
      <c r="E35" s="619"/>
      <c r="F35" s="619" t="s">
        <v>81</v>
      </c>
      <c r="G35" s="619"/>
      <c r="H35" s="619"/>
      <c r="I35" s="631" t="s">
        <v>217</v>
      </c>
      <c r="J35" s="281"/>
      <c r="K35" s="9"/>
    </row>
    <row r="36" spans="1:11" ht="57" customHeight="1">
      <c r="A36" s="454"/>
      <c r="B36" s="462"/>
      <c r="C36" s="425" t="s">
        <v>209</v>
      </c>
      <c r="D36" s="425" t="s">
        <v>454</v>
      </c>
      <c r="E36" s="425" t="s">
        <v>453</v>
      </c>
      <c r="F36" s="425" t="s">
        <v>455</v>
      </c>
      <c r="G36" s="425" t="s">
        <v>210</v>
      </c>
      <c r="H36" s="425" t="s">
        <v>456</v>
      </c>
      <c r="I36" s="631"/>
      <c r="J36" s="281"/>
      <c r="K36" s="9"/>
    </row>
    <row r="37" spans="1:11">
      <c r="A37" s="424">
        <v>2017</v>
      </c>
      <c r="B37" s="311">
        <v>1</v>
      </c>
      <c r="C37" s="432">
        <f>+$D$5*12*B37</f>
        <v>19133.400000000001</v>
      </c>
      <c r="D37" s="432">
        <f>INGRESOS!$D$9*'ESTIMACIÓN DEM. DE POT MAXIMA'!B7*12*INGRESOS!B37*1000</f>
        <v>243657.21600000001</v>
      </c>
      <c r="E37" s="432">
        <f>INGRESOS!$D$12*'ESTIMACIÓN DEM. DE POT MAXIMA'!C7*12*INGRESOS!B37*1000</f>
        <v>216730.8</v>
      </c>
      <c r="F37" s="114">
        <f>'ESTIMACIÓN DEM. DE ENERGÍA'!C5*$D$20*B37*1000</f>
        <v>1160169.1301772001</v>
      </c>
      <c r="G37" s="114">
        <f>'ESTIMACIÓN DEM. DE ENERGÍA'!B5*$D$29*$D$23*B37*1000</f>
        <v>235759.18431779993</v>
      </c>
      <c r="H37" s="114">
        <f>'ESTIMACIÓN DEM. DE ENERGÍA'!D5*$D$29*$D$26*B37*1000</f>
        <v>312013.24659648014</v>
      </c>
      <c r="I37" s="120">
        <f>SUM(C37:H37)</f>
        <v>2187462.97709148</v>
      </c>
      <c r="J37" s="119"/>
    </row>
    <row r="38" spans="1:11">
      <c r="A38" s="424">
        <v>2018</v>
      </c>
      <c r="B38" s="311">
        <v>1</v>
      </c>
      <c r="C38" s="432">
        <f t="shared" ref="C38:C67" si="0">+$D$5*12*B38</f>
        <v>19133.400000000001</v>
      </c>
      <c r="D38" s="432">
        <f>INGRESOS!$D$9*'ESTIMACIÓN DEM. DE POT MAXIMA'!B8*12*INGRESOS!B38*1000</f>
        <v>248530.36031999998</v>
      </c>
      <c r="E38" s="432">
        <f>INGRESOS!$D$12*'ESTIMACIÓN DEM. DE POT MAXIMA'!C8*12*INGRESOS!B38*1000</f>
        <v>221065.41600000003</v>
      </c>
      <c r="F38" s="114">
        <f>'ESTIMACIÓN DEM. DE ENERGÍA'!C6*$D$20*B38*1000</f>
        <v>1183372.5127807441</v>
      </c>
      <c r="G38" s="114">
        <f>'ESTIMACIÓN DEM. DE ENERGÍA'!B6*$D$29*$D$23*B38*1000</f>
        <v>240474.3680041559</v>
      </c>
      <c r="H38" s="114">
        <f>'ESTIMACIÓN DEM. DE ENERGÍA'!D6*$D$29*$D$26*B38*1000</f>
        <v>318253.51152840978</v>
      </c>
      <c r="I38" s="120">
        <f>SUM(C38:H38)</f>
        <v>2230829.5686333096</v>
      </c>
      <c r="J38" s="119"/>
      <c r="K38" s="275"/>
    </row>
    <row r="39" spans="1:11">
      <c r="A39" s="424">
        <v>2019</v>
      </c>
      <c r="B39" s="311">
        <v>1</v>
      </c>
      <c r="C39" s="432">
        <f t="shared" si="0"/>
        <v>19133.400000000001</v>
      </c>
      <c r="D39" s="432">
        <f>INGRESOS!$D$9*'ESTIMACIÓN DEM. DE POT MAXIMA'!B9*12*INGRESOS!B39*1000</f>
        <v>253500.96752639997</v>
      </c>
      <c r="E39" s="432">
        <f>INGRESOS!$D$12*'ESTIMACIÓN DEM. DE POT MAXIMA'!C9*12*INGRESOS!B39*1000</f>
        <v>225486.72432000001</v>
      </c>
      <c r="F39" s="114">
        <f>'ESTIMACIÓN DEM. DE ENERGÍA'!C7*$D$20*B39*1000</f>
        <v>1207039.9630363591</v>
      </c>
      <c r="G39" s="114">
        <f>'ESTIMACIÓN DEM. DE ENERGÍA'!B7*$D$29*$D$23*B39*1000</f>
        <v>245283.85536423905</v>
      </c>
      <c r="H39" s="114">
        <f>'ESTIMACIÓN DEM. DE ENERGÍA'!D7*$D$29*$D$26*B39*1000</f>
        <v>324618.58175897796</v>
      </c>
      <c r="I39" s="120">
        <f t="shared" ref="I39:I67" si="1">SUM(C39:H39)</f>
        <v>2275063.4920059759</v>
      </c>
      <c r="J39" s="119"/>
    </row>
    <row r="40" spans="1:11">
      <c r="A40" s="424">
        <v>2020</v>
      </c>
      <c r="B40" s="311">
        <v>1</v>
      </c>
      <c r="C40" s="432">
        <f t="shared" si="0"/>
        <v>19133.400000000001</v>
      </c>
      <c r="D40" s="432">
        <f>INGRESOS!$D$9*'ESTIMACIÓN DEM. DE POT MAXIMA'!B10*12*INGRESOS!B40*1000</f>
        <v>258570.98687692793</v>
      </c>
      <c r="E40" s="432">
        <f>INGRESOS!$D$12*'ESTIMACIÓN DEM. DE POT MAXIMA'!C10*12*INGRESOS!B40*1000</f>
        <v>229996.45880639998</v>
      </c>
      <c r="F40" s="114">
        <f>'ESTIMACIÓN DEM. DE ENERGÍA'!C8*$D$20*B40*1000</f>
        <v>1231180.7622970864</v>
      </c>
      <c r="G40" s="114">
        <f>'ESTIMACIÓN DEM. DE ENERGÍA'!B8*$D$29*$D$23*B40*1000</f>
        <v>250189.53247152382</v>
      </c>
      <c r="H40" s="114">
        <f>'ESTIMACIÓN DEM. DE ENERGÍA'!D8*$D$29*$D$26*B40*1000</f>
        <v>331110.95339415752</v>
      </c>
      <c r="I40" s="120">
        <f t="shared" si="1"/>
        <v>2320182.0938460957</v>
      </c>
      <c r="J40" s="119"/>
    </row>
    <row r="41" spans="1:11">
      <c r="A41" s="424">
        <v>2021</v>
      </c>
      <c r="B41" s="311">
        <v>1</v>
      </c>
      <c r="C41" s="432">
        <f t="shared" si="0"/>
        <v>19133.400000000001</v>
      </c>
      <c r="D41" s="432">
        <f>INGRESOS!$D$9*'ESTIMACIÓN DEM. DE POT MAXIMA'!B11*12*INGRESOS!B41*1000</f>
        <v>263742.40661446645</v>
      </c>
      <c r="E41" s="432">
        <f>INGRESOS!$D$12*'ESTIMACIÓN DEM. DE POT MAXIMA'!C11*12*INGRESOS!B41*1000</f>
        <v>234596.38798252802</v>
      </c>
      <c r="F41" s="114">
        <f>'ESTIMACIÓN DEM. DE ENERGÍA'!C9*$D$20*B41*1000</f>
        <v>1255804.3775430277</v>
      </c>
      <c r="G41" s="114">
        <f>'ESTIMACIÓN DEM. DE ENERGÍA'!B9*$D$29*$D$23*B41*1000</f>
        <v>255193.32312095433</v>
      </c>
      <c r="H41" s="114">
        <f>'ESTIMACIÓN DEM. DE ENERGÍA'!D9*$D$29*$D$26*B41*1000</f>
        <v>337733.17246204062</v>
      </c>
      <c r="I41" s="120">
        <f t="shared" si="1"/>
        <v>2366203.0677230172</v>
      </c>
      <c r="J41" s="119"/>
    </row>
    <row r="42" spans="1:11">
      <c r="A42" s="424">
        <v>2022</v>
      </c>
      <c r="B42" s="311">
        <v>1</v>
      </c>
      <c r="C42" s="432">
        <f t="shared" si="0"/>
        <v>19133.400000000001</v>
      </c>
      <c r="D42" s="432">
        <f>INGRESOS!$D$9*'ESTIMACIÓN DEM. DE POT MAXIMA'!B12*12*INGRESOS!B42*1000</f>
        <v>269017.25474675582</v>
      </c>
      <c r="E42" s="432">
        <f>INGRESOS!$D$12*'ESTIMACIÓN DEM. DE POT MAXIMA'!C12*12*INGRESOS!B42*1000</f>
        <v>239288.31574217859</v>
      </c>
      <c r="F42" s="114">
        <f>'ESTIMACIÓN DEM. DE ENERGÍA'!C10*$D$20*B42*1000</f>
        <v>1280920.4650938886</v>
      </c>
      <c r="G42" s="114">
        <f>'ESTIMACIÓN DEM. DE ENERGÍA'!B10*$D$29*$D$23*B42*1000</f>
        <v>260297.18958337337</v>
      </c>
      <c r="H42" s="114">
        <f>'ESTIMACIÓN DEM. DE ENERGÍA'!D10*$D$29*$D$26*B42*1000</f>
        <v>344487.83591128147</v>
      </c>
      <c r="I42" s="120">
        <f t="shared" si="1"/>
        <v>2413144.4610774778</v>
      </c>
    </row>
    <row r="43" spans="1:11">
      <c r="A43" s="424">
        <v>2023</v>
      </c>
      <c r="B43" s="311">
        <v>1</v>
      </c>
      <c r="C43" s="432">
        <f t="shared" si="0"/>
        <v>19133.400000000001</v>
      </c>
      <c r="D43" s="432">
        <f>INGRESOS!$D$9*'ESTIMACIÓN DEM. DE POT MAXIMA'!B13*12*INGRESOS!B43*1000</f>
        <v>274397.59984169091</v>
      </c>
      <c r="E43" s="432">
        <f>INGRESOS!$D$12*'ESTIMACIÓN DEM. DE POT MAXIMA'!C13*12*INGRESOS!B43*1000</f>
        <v>244074.08205702217</v>
      </c>
      <c r="F43" s="114">
        <f>'ESTIMACIÓN DEM. DE ENERGÍA'!C11*$D$20*B43*1000</f>
        <v>1306538.8743957663</v>
      </c>
      <c r="G43" s="114">
        <f>'ESTIMACIÓN DEM. DE ENERGÍA'!B11*$D$29*$D$23*B43*1000</f>
        <v>265503.1333750409</v>
      </c>
      <c r="H43" s="114">
        <f>'ESTIMACIÓN DEM. DE ENERGÍA'!D11*$D$29*$D$26*B43*1000</f>
        <v>351377.59262950707</v>
      </c>
      <c r="I43" s="120">
        <f t="shared" si="1"/>
        <v>2461024.6822990272</v>
      </c>
    </row>
    <row r="44" spans="1:11">
      <c r="A44" s="424">
        <v>2024</v>
      </c>
      <c r="B44" s="311">
        <v>1</v>
      </c>
      <c r="C44" s="432">
        <f t="shared" si="0"/>
        <v>19133.400000000001</v>
      </c>
      <c r="D44" s="432">
        <f>INGRESOS!$D$9*'ESTIMACIÓN DEM. DE POT MAXIMA'!B14*12*INGRESOS!B44*1000</f>
        <v>279885.55183852476</v>
      </c>
      <c r="E44" s="432">
        <f>INGRESOS!$D$12*'ESTIMACIÓN DEM. DE POT MAXIMA'!C14*12*INGRESOS!B44*1000</f>
        <v>248955.56369816256</v>
      </c>
      <c r="F44" s="114">
        <f>'ESTIMACIÓN DEM. DE ENERGÍA'!C12*$D$20*B44*1000</f>
        <v>1332669.6518836815</v>
      </c>
      <c r="G44" s="114">
        <f>'ESTIMACIÓN DEM. DE ENERGÍA'!B12*$D$29*$D$23*B44*1000</f>
        <v>270813.19604254165</v>
      </c>
      <c r="H44" s="114">
        <f>'ESTIMACIÓN DEM. DE ENERGÍA'!D12*$D$29*$D$26*B44*1000</f>
        <v>358405.1444820973</v>
      </c>
      <c r="I44" s="120">
        <f t="shared" si="1"/>
        <v>2509862.5079450076</v>
      </c>
    </row>
    <row r="45" spans="1:11">
      <c r="A45" s="424">
        <v>2025</v>
      </c>
      <c r="B45" s="311">
        <v>1</v>
      </c>
      <c r="C45" s="432">
        <f t="shared" si="0"/>
        <v>19133.400000000001</v>
      </c>
      <c r="D45" s="432">
        <f>INGRESOS!$D$9*'ESTIMACIÓN DEM. DE POT MAXIMA'!B15*12*INGRESOS!B45*1000</f>
        <v>285483.26287529524</v>
      </c>
      <c r="E45" s="432">
        <f>INGRESOS!$D$12*'ESTIMACIÓN DEM. DE POT MAXIMA'!C15*12*INGRESOS!B45*1000</f>
        <v>253934.67497212582</v>
      </c>
      <c r="F45" s="114">
        <f>'ESTIMACIÓN DEM. DE ENERGÍA'!C13*$D$20*B45*1000</f>
        <v>1359323.0449213551</v>
      </c>
      <c r="G45" s="114">
        <f>'ESTIMACIÓN DEM. DE ENERGÍA'!B13*$D$29*$D$23*B45*1000</f>
        <v>276229.45996339252</v>
      </c>
      <c r="H45" s="114">
        <f>'ESTIMACIÓN DEM. DE ENERGÍA'!D13*$D$29*$D$26*B45*1000</f>
        <v>365573.24737173918</v>
      </c>
      <c r="I45" s="120">
        <f t="shared" si="1"/>
        <v>2559677.090103908</v>
      </c>
    </row>
    <row r="46" spans="1:11">
      <c r="A46" s="424">
        <v>2026</v>
      </c>
      <c r="B46" s="311">
        <v>1</v>
      </c>
      <c r="C46" s="432">
        <f t="shared" si="0"/>
        <v>19133.400000000001</v>
      </c>
      <c r="D46" s="432">
        <f>INGRESOS!$D$9*'ESTIMACIÓN DEM. DE POT MAXIMA'!B16*12*INGRESOS!B46*1000</f>
        <v>291192.92813280114</v>
      </c>
      <c r="E46" s="432">
        <f>INGRESOS!$D$12*'ESTIMACIÓN DEM. DE POT MAXIMA'!C16*12*INGRESOS!B46*1000</f>
        <v>259013.36847156836</v>
      </c>
      <c r="F46" s="114">
        <f>'ESTIMACIÓN DEM. DE ENERGÍA'!C14*$D$20*B46*1000</f>
        <v>1386509.5058197824</v>
      </c>
      <c r="G46" s="114">
        <f>'ESTIMACIÓN DEM. DE ENERGÍA'!B14*$D$29*$D$23*B46*1000</f>
        <v>281754.04916266038</v>
      </c>
      <c r="H46" s="114">
        <f>'ESTIMACIÓN DEM. DE ENERGÍA'!D14*$D$29*$D$26*B46*1000</f>
        <v>372884.71231917397</v>
      </c>
      <c r="I46" s="120">
        <f t="shared" si="1"/>
        <v>2610487.9639059859</v>
      </c>
    </row>
    <row r="47" spans="1:11">
      <c r="A47" s="424">
        <v>2027</v>
      </c>
      <c r="B47" s="311">
        <v>1</v>
      </c>
      <c r="C47" s="432">
        <f t="shared" si="0"/>
        <v>19133.400000000001</v>
      </c>
      <c r="D47" s="432">
        <f>INGRESOS!$D$9*'ESTIMACIÓN DEM. DE POT MAXIMA'!B17*12*INGRESOS!B47*1000</f>
        <v>297016.78669545712</v>
      </c>
      <c r="E47" s="432">
        <f>INGRESOS!$D$12*'ESTIMACIÓN DEM. DE POT MAXIMA'!C17*12*INGRESOS!B47*1000</f>
        <v>264193.63584099972</v>
      </c>
      <c r="F47" s="114">
        <f>'ESTIMACIÓN DEM. DE ENERGÍA'!C15*$D$20*B47*1000</f>
        <v>1414239.6959361781</v>
      </c>
      <c r="G47" s="114">
        <f>'ESTIMACIÓN DEM. DE ENERGÍA'!B15*$D$29*$D$23*B47*1000</f>
        <v>287389.13014591357</v>
      </c>
      <c r="H47" s="114">
        <f>'ESTIMACIÓN DEM. DE ENERGÍA'!D15*$D$29*$D$26*B47*1000</f>
        <v>380342.40656555747</v>
      </c>
      <c r="I47" s="120">
        <f t="shared" si="1"/>
        <v>2662315.0551841063</v>
      </c>
    </row>
    <row r="48" spans="1:11">
      <c r="A48" s="424">
        <v>2028</v>
      </c>
      <c r="B48" s="311">
        <v>1</v>
      </c>
      <c r="C48" s="432">
        <f t="shared" si="0"/>
        <v>19133.400000000001</v>
      </c>
      <c r="D48" s="432">
        <f>INGRESOS!$D$9*'ESTIMACIÓN DEM. DE POT MAXIMA'!B18*12*INGRESOS!B48*1000</f>
        <v>302957.12242936628</v>
      </c>
      <c r="E48" s="432">
        <f>INGRESOS!$D$12*'ESTIMACIÓN DEM. DE POT MAXIMA'!C18*12*INGRESOS!B48*1000</f>
        <v>269477.50855781976</v>
      </c>
      <c r="F48" s="114">
        <f>'ESTIMACIÓN DEM. DE ENERGÍA'!C16*$D$20*B48*1000</f>
        <v>1442524.4898549018</v>
      </c>
      <c r="G48" s="114">
        <f>'ESTIMACIÓN DEM. DE ENERGÍA'!B16*$D$29*$D$23*B48*1000</f>
        <v>293136.91274883191</v>
      </c>
      <c r="H48" s="114">
        <f>'ESTIMACIÓN DEM. DE ENERGÍA'!D16*$D$29*$D$26*B48*1000</f>
        <v>387949.25469686853</v>
      </c>
      <c r="I48" s="120">
        <f t="shared" si="1"/>
        <v>2715178.6882877881</v>
      </c>
    </row>
    <row r="49" spans="1:9">
      <c r="A49" s="424">
        <v>2029</v>
      </c>
      <c r="B49" s="311">
        <v>1</v>
      </c>
      <c r="C49" s="432">
        <f t="shared" si="0"/>
        <v>19133.400000000001</v>
      </c>
      <c r="D49" s="432">
        <f>INGRESOS!$D$9*'ESTIMACIÓN DEM. DE POT MAXIMA'!B19*12*INGRESOS!B49*1000</f>
        <v>309016.26487795362</v>
      </c>
      <c r="E49" s="432">
        <f>INGRESOS!$D$12*'ESTIMACIÓN DEM. DE POT MAXIMA'!C19*12*INGRESOS!B49*1000</f>
        <v>274867.05872897612</v>
      </c>
      <c r="F49" s="114">
        <f>'ESTIMACIÓN DEM. DE ENERGÍA'!C17*$D$20*B49*1000</f>
        <v>1471374.9796519999</v>
      </c>
      <c r="G49" s="114">
        <f>'ESTIMACIÓN DEM. DE ENERGÍA'!B17*$D$29*$D$23*B49*1000</f>
        <v>298999.65100380848</v>
      </c>
      <c r="H49" s="114">
        <f>'ESTIMACIÓN DEM. DE ENERGÍA'!D17*$D$29*$D$26*B49*1000</f>
        <v>395708.23979080596</v>
      </c>
      <c r="I49" s="120">
        <f t="shared" si="1"/>
        <v>2769099.5940535446</v>
      </c>
    </row>
    <row r="50" spans="1:9">
      <c r="A50" s="424">
        <v>2030</v>
      </c>
      <c r="B50" s="311">
        <v>1</v>
      </c>
      <c r="C50" s="432">
        <f t="shared" si="0"/>
        <v>19133.400000000001</v>
      </c>
      <c r="D50" s="432">
        <f>INGRESOS!$D$9*'ESTIMACIÓN DEM. DE POT MAXIMA'!B20*12*INGRESOS!B50*1000</f>
        <v>315196.59017551265</v>
      </c>
      <c r="E50" s="432">
        <f>INGRESOS!$D$12*'ESTIMACIÓN DEM. DE POT MAXIMA'!C20*12*INGRESOS!B50*1000</f>
        <v>280364.39990355563</v>
      </c>
      <c r="F50" s="114">
        <f>'ESTIMACIÓN DEM. DE ENERGÍA'!C18*$D$20*B50*1000</f>
        <v>1500802.4792450399</v>
      </c>
      <c r="G50" s="114">
        <f>'ESTIMACIÓN DEM. DE ENERGÍA'!B18*$D$29*$D$23*B50*1000</f>
        <v>304979.64402388467</v>
      </c>
      <c r="H50" s="114">
        <f>'ESTIMACIÓN DEM. DE ENERGÍA'!D18*$D$29*$D$26*B50*1000</f>
        <v>403622.40458662208</v>
      </c>
      <c r="I50" s="120">
        <f t="shared" si="1"/>
        <v>2824098.9179346147</v>
      </c>
    </row>
    <row r="51" spans="1:9">
      <c r="A51" s="424">
        <v>2031</v>
      </c>
      <c r="B51" s="311">
        <v>1</v>
      </c>
      <c r="C51" s="432">
        <f t="shared" si="0"/>
        <v>19133.400000000001</v>
      </c>
      <c r="D51" s="432">
        <f>INGRESOS!$D$9*'ESTIMACIÓN DEM. DE POT MAXIMA'!B21*12*INGRESOS!B51*1000</f>
        <v>321500.52197902289</v>
      </c>
      <c r="E51" s="432">
        <f>INGRESOS!$D$12*'ESTIMACIÓN DEM. DE POT MAXIMA'!C21*12*INGRESOS!B51*1000</f>
        <v>285971.68790162675</v>
      </c>
      <c r="F51" s="114">
        <f>'ESTIMACIÓN DEM. DE ENERGÍA'!C19*$D$20*B51*1000</f>
        <v>1530818.5288299406</v>
      </c>
      <c r="G51" s="114">
        <f>'ESTIMACIÓN DEM. DE ENERGÍA'!B19*$D$29*$D$23*B51*1000</f>
        <v>311079.23690436239</v>
      </c>
      <c r="H51" s="114">
        <f>'ESTIMACIÓN DEM. DE ENERGÍA'!D19*$D$29*$D$26*B51*1000</f>
        <v>411694.85267835448</v>
      </c>
      <c r="I51" s="120">
        <f t="shared" si="1"/>
        <v>2880198.2282933067</v>
      </c>
    </row>
    <row r="52" spans="1:9">
      <c r="A52" s="424">
        <v>2032</v>
      </c>
      <c r="B52" s="311">
        <v>1</v>
      </c>
      <c r="C52" s="432">
        <f t="shared" si="0"/>
        <v>19133.400000000001</v>
      </c>
      <c r="D52" s="432">
        <f>INGRESOS!$D$9*'ESTIMACIÓN DEM. DE POT MAXIMA'!B22*12*INGRESOS!B52*1000</f>
        <v>327930.53241860337</v>
      </c>
      <c r="E52" s="432">
        <f>INGRESOS!$D$12*'ESTIMACIÓN DEM. DE POT MAXIMA'!C22*12*INGRESOS!B52*1000</f>
        <v>291691.12165965931</v>
      </c>
      <c r="F52" s="114">
        <f>'ESTIMACIÓN DEM. DE ENERGÍA'!C20*$D$20*B52*1000</f>
        <v>1561434.8994065393</v>
      </c>
      <c r="G52" s="114">
        <f>'ESTIMACIÓN DEM. DE ENERGÍA'!B20*$D$29*$D$23*B52*1000</f>
        <v>317300.82164244965</v>
      </c>
      <c r="H52" s="114">
        <f>'ESTIMACIÓN DEM. DE ENERGÍA'!D20*$D$29*$D$26*B52*1000</f>
        <v>419928.74973192165</v>
      </c>
      <c r="I52" s="120">
        <f t="shared" si="1"/>
        <v>2937419.5248591732</v>
      </c>
    </row>
    <row r="53" spans="1:9">
      <c r="A53" s="424">
        <v>2033</v>
      </c>
      <c r="B53" s="311">
        <v>1</v>
      </c>
      <c r="C53" s="432">
        <f t="shared" si="0"/>
        <v>19133.400000000001</v>
      </c>
      <c r="D53" s="432">
        <f>INGRESOS!$D$9*'ESTIMACIÓN DEM. DE POT MAXIMA'!B23*12*INGRESOS!B53*1000</f>
        <v>334489.1430669754</v>
      </c>
      <c r="E53" s="432">
        <f>INGRESOS!$D$12*'ESTIMACIÓN DEM. DE POT MAXIMA'!C23*12*INGRESOS!B53*1000</f>
        <v>297524.94409285247</v>
      </c>
      <c r="F53" s="114">
        <f>'ESTIMACIÓN DEM. DE ENERGÍA'!C21*$D$20*B53*1000</f>
        <v>1592663.5973946699</v>
      </c>
      <c r="G53" s="114">
        <f>'ESTIMACIÓN DEM. DE ENERGÍA'!B21*$D$29*$D$23*B53*1000</f>
        <v>323646.83807529858</v>
      </c>
      <c r="H53" s="114">
        <f>'ESTIMACIÓN DEM. DE ENERGÍA'!D21*$D$29*$D$26*B53*1000</f>
        <v>428327.32472656004</v>
      </c>
      <c r="I53" s="120">
        <f t="shared" si="1"/>
        <v>2995785.2473563571</v>
      </c>
    </row>
    <row r="54" spans="1:9">
      <c r="A54" s="424">
        <v>2034</v>
      </c>
      <c r="B54" s="311">
        <v>1</v>
      </c>
      <c r="C54" s="432">
        <f t="shared" si="0"/>
        <v>19133.400000000001</v>
      </c>
      <c r="D54" s="432">
        <f>INGRESOS!$D$9*'ESTIMACIÓN DEM. DE POT MAXIMA'!B24*12*INGRESOS!B54*1000</f>
        <v>341178.92592831491</v>
      </c>
      <c r="E54" s="432">
        <f>INGRESOS!$D$12*'ESTIMACIÓN DEM. DE POT MAXIMA'!C24*12*INGRESOS!B54*1000</f>
        <v>303475.44297470956</v>
      </c>
      <c r="F54" s="114">
        <f>'ESTIMACIÓN DEM. DE ENERGÍA'!C22*$D$20*B54*1000</f>
        <v>1624516.8693425634</v>
      </c>
      <c r="G54" s="114">
        <f>'ESTIMACIÓN DEM. DE ENERGÍA'!B22*$D$29*$D$23*B54*1000</f>
        <v>330119.77483680466</v>
      </c>
      <c r="H54" s="114">
        <f>'ESTIMACIÓN DEM. DE ENERGÍA'!D22*$D$29*$D$26*B54*1000</f>
        <v>436893.87122109119</v>
      </c>
      <c r="I54" s="120">
        <f t="shared" si="1"/>
        <v>3055318.284303484</v>
      </c>
    </row>
    <row r="55" spans="1:9">
      <c r="A55" s="424">
        <v>2035</v>
      </c>
      <c r="B55" s="311">
        <v>1</v>
      </c>
      <c r="C55" s="432">
        <f t="shared" si="0"/>
        <v>19133.400000000001</v>
      </c>
      <c r="D55" s="432">
        <f>INGRESOS!$D$9*'ESTIMACIÓN DEM. DE POT MAXIMA'!B25*12*INGRESOS!B55*1000</f>
        <v>348002.50444688124</v>
      </c>
      <c r="E55" s="432">
        <f>INGRESOS!$D$12*'ESTIMACIÓN DEM. DE POT MAXIMA'!C25*12*INGRESOS!B55*1000</f>
        <v>309544.95183420373</v>
      </c>
      <c r="F55" s="114">
        <f>'ESTIMACIÓN DEM. DE ENERGÍA'!C23*$D$20*B55*1000</f>
        <v>1657007.2067294146</v>
      </c>
      <c r="G55" s="114">
        <f>'ESTIMACIÓN DEM. DE ENERGÍA'!B23*$D$29*$D$23*B55*1000</f>
        <v>336722.17033354077</v>
      </c>
      <c r="H55" s="114">
        <f>'ESTIMACIÓN DEM. DE ENERGÍA'!D23*$D$29*$D$26*B55*1000</f>
        <v>445631.74864551309</v>
      </c>
      <c r="I55" s="120">
        <f t="shared" si="1"/>
        <v>3116041.9819895541</v>
      </c>
    </row>
    <row r="56" spans="1:9">
      <c r="A56" s="424">
        <v>2036</v>
      </c>
      <c r="B56" s="311">
        <v>1</v>
      </c>
      <c r="C56" s="432">
        <f t="shared" si="0"/>
        <v>19133.400000000001</v>
      </c>
      <c r="D56" s="432">
        <f>INGRESOS!$D$9*'ESTIMACIÓN DEM. DE POT MAXIMA'!B26*12*INGRESOS!B56*1000</f>
        <v>354962.55453581887</v>
      </c>
      <c r="E56" s="432">
        <f>INGRESOS!$D$12*'ESTIMACIÓN DEM. DE POT MAXIMA'!C26*12*INGRESOS!B56*1000</f>
        <v>315735.85087088781</v>
      </c>
      <c r="F56" s="114">
        <f>'ESTIMACIÓN DEM. DE ENERGÍA'!C24*$D$20*B56*1000</f>
        <v>1690147.3508640032</v>
      </c>
      <c r="G56" s="114">
        <f>'ESTIMACIÓN DEM. DE ENERGÍA'!B24*$D$29*$D$23*B56*1000</f>
        <v>343456.61374021153</v>
      </c>
      <c r="H56" s="114">
        <f>'ESTIMACIÓN DEM. DE ENERGÍA'!D24*$D$29*$D$26*B56*1000</f>
        <v>454544.38361842342</v>
      </c>
      <c r="I56" s="120">
        <f t="shared" si="1"/>
        <v>3177980.1536293444</v>
      </c>
    </row>
    <row r="57" spans="1:9">
      <c r="A57" s="424">
        <v>2037</v>
      </c>
      <c r="B57" s="311">
        <v>1</v>
      </c>
      <c r="C57" s="432">
        <f t="shared" si="0"/>
        <v>19133.400000000001</v>
      </c>
      <c r="D57" s="432">
        <f>INGRESOS!$D$9*'ESTIMACIÓN DEM. DE POT MAXIMA'!B27*12*INGRESOS!B57*1000</f>
        <v>362061.80562653526</v>
      </c>
      <c r="E57" s="432">
        <f>INGRESOS!$D$12*'ESTIMACIÓN DEM. DE POT MAXIMA'!C27*12*INGRESOS!B57*1000</f>
        <v>322050.56788830552</v>
      </c>
      <c r="F57" s="114">
        <f>'ESTIMACIÓN DEM. DE ENERGÍA'!C25*$D$20*B57*1000</f>
        <v>1723950.2978812831</v>
      </c>
      <c r="G57" s="114">
        <f>'ESTIMACIÓN DEM. DE ENERGÍA'!B25*$D$29*$D$23*B57*1000</f>
        <v>350325.74601501576</v>
      </c>
      <c r="H57" s="114">
        <f>'ESTIMACIÓN DEM. DE ENERGÍA'!D25*$D$29*$D$26*B57*1000</f>
        <v>463635.27129079186</v>
      </c>
      <c r="I57" s="120">
        <f t="shared" si="1"/>
        <v>3241157.0887019313</v>
      </c>
    </row>
    <row r="58" spans="1:9">
      <c r="A58" s="424">
        <v>2038</v>
      </c>
      <c r="B58" s="311">
        <v>1</v>
      </c>
      <c r="C58" s="432">
        <f t="shared" si="0"/>
        <v>19133.400000000001</v>
      </c>
      <c r="D58" s="432">
        <f>INGRESOS!$D$9*'ESTIMACIÓN DEM. DE POT MAXIMA'!B28*12*INGRESOS!B58*1000</f>
        <v>369303.0417390659</v>
      </c>
      <c r="E58" s="432">
        <f>INGRESOS!$D$12*'ESTIMACIÓN DEM. DE POT MAXIMA'!C28*12*INGRESOS!B58*1000</f>
        <v>328491.57924607163</v>
      </c>
      <c r="F58" s="114">
        <f>'ESTIMACIÓN DEM. DE ENERGÍA'!C26*$D$20*B58*1000</f>
        <v>1758429.3038389087</v>
      </c>
      <c r="G58" s="114">
        <f>'ESTIMACIÓN DEM. DE ENERGÍA'!B26*$D$29*$D$23*B58*1000</f>
        <v>357332.26093531615</v>
      </c>
      <c r="H58" s="114">
        <f>'ESTIMACIÓN DEM. DE ENERGÍA'!D26*$D$29*$D$26*B58*1000</f>
        <v>472907.97671660775</v>
      </c>
      <c r="I58" s="120">
        <f t="shared" si="1"/>
        <v>3305597.5624759705</v>
      </c>
    </row>
    <row r="59" spans="1:9">
      <c r="A59" s="424">
        <v>2039</v>
      </c>
      <c r="B59" s="311">
        <v>1</v>
      </c>
      <c r="C59" s="432">
        <f t="shared" si="0"/>
        <v>19133.400000000001</v>
      </c>
      <c r="D59" s="432">
        <f>INGRESOS!$D$9*'ESTIMACIÓN DEM. DE POT MAXIMA'!B29*12*INGRESOS!B59*1000</f>
        <v>376689.10257384722</v>
      </c>
      <c r="E59" s="432">
        <f>INGRESOS!$D$12*'ESTIMACIÓN DEM. DE POT MAXIMA'!C29*12*INGRESOS!B59*1000</f>
        <v>335061.41083099309</v>
      </c>
      <c r="F59" s="114">
        <f>'ESTIMACIÓN DEM. DE ENERGÍA'!C27*$D$20*B59*1000</f>
        <v>1793597.8899156868</v>
      </c>
      <c r="G59" s="114">
        <f>'ESTIMACIÓN DEM. DE ENERGÍA'!B27*$D$29*$D$23*B59*1000</f>
        <v>364478.90615402249</v>
      </c>
      <c r="H59" s="114">
        <f>'ESTIMACIÓN DEM. DE ENERGÍA'!D27*$D$29*$D$26*B59*1000</f>
        <v>482366.13625093986</v>
      </c>
      <c r="I59" s="120">
        <f t="shared" si="1"/>
        <v>3371326.8457254893</v>
      </c>
    </row>
    <row r="60" spans="1:9">
      <c r="A60" s="424">
        <v>2040</v>
      </c>
      <c r="B60" s="311">
        <v>1</v>
      </c>
      <c r="C60" s="432">
        <f t="shared" si="0"/>
        <v>19133.400000000001</v>
      </c>
      <c r="D60" s="432">
        <f>INGRESOS!$D$9*'ESTIMACIÓN DEM. DE POT MAXIMA'!B30*12*INGRESOS!B60*1000</f>
        <v>384222.88462532422</v>
      </c>
      <c r="E60" s="432">
        <f>INGRESOS!$D$12*'ESTIMACIÓN DEM. DE POT MAXIMA'!C30*12*INGRESOS!B60*1000</f>
        <v>341762.63904761302</v>
      </c>
      <c r="F60" s="114">
        <f>'ESTIMACIÓN DEM. DE ENERGÍA'!C28*$D$20*B60*1000</f>
        <v>1829469.8477140006</v>
      </c>
      <c r="G60" s="114">
        <f>'ESTIMACIÓN DEM. DE ENERGÍA'!B28*$D$29*$D$23*B60*1000</f>
        <v>371768.48427710286</v>
      </c>
      <c r="H60" s="114">
        <f>'ESTIMACIÓN DEM. DE ENERGÍA'!D28*$D$29*$D$26*B60*1000</f>
        <v>492013.45897595858</v>
      </c>
      <c r="I60" s="120">
        <f t="shared" si="1"/>
        <v>3438370.7146399999</v>
      </c>
    </row>
    <row r="61" spans="1:9">
      <c r="A61" s="424">
        <v>2041</v>
      </c>
      <c r="B61" s="311">
        <v>1</v>
      </c>
      <c r="C61" s="432">
        <f t="shared" si="0"/>
        <v>19133.400000000001</v>
      </c>
      <c r="D61" s="432">
        <f>INGRESOS!$D$9*'ESTIMACIÓN DEM. DE POT MAXIMA'!B31*12*INGRESOS!B61*1000</f>
        <v>391907.34231783071</v>
      </c>
      <c r="E61" s="432">
        <f>INGRESOS!$D$12*'ESTIMACIÓN DEM. DE POT MAXIMA'!C31*12*INGRESOS!B61*1000</f>
        <v>348597.89182856528</v>
      </c>
      <c r="F61" s="114">
        <f>'ESTIMACIÓN DEM. DE ENERGÍA'!C29*$D$20*B61*1000</f>
        <v>1866059.2446682809</v>
      </c>
      <c r="G61" s="114">
        <f>'ESTIMACIÓN DEM. DE ENERGÍA'!B29*$D$29*$D$23*B61*1000</f>
        <v>379203.85396264499</v>
      </c>
      <c r="H61" s="114">
        <f>'ESTIMACIÓN DEM. DE ENERGÍA'!D29*$D$29*$D$26*B61*1000</f>
        <v>501853.72815547779</v>
      </c>
      <c r="I61" s="120">
        <f t="shared" si="1"/>
        <v>3506755.4609327996</v>
      </c>
    </row>
    <row r="62" spans="1:9">
      <c r="A62" s="424">
        <v>2042</v>
      </c>
      <c r="B62" s="311">
        <v>1</v>
      </c>
      <c r="C62" s="432">
        <f t="shared" si="0"/>
        <v>19133.400000000001</v>
      </c>
      <c r="D62" s="432">
        <f>INGRESOS!$D$9*'ESTIMACIÓN DEM. DE POT MAXIMA'!B32*12*INGRESOS!B62*1000</f>
        <v>399745.48916418734</v>
      </c>
      <c r="E62" s="432">
        <f>INGRESOS!$D$12*'ESTIMACIÓN DEM. DE POT MAXIMA'!C32*12*INGRESOS!B62*1000</f>
        <v>355569.84966513654</v>
      </c>
      <c r="F62" s="114">
        <f>'ESTIMACIÓN DEM. DE ENERGÍA'!C30*$D$20*B62*1000</f>
        <v>1903380.4295616462</v>
      </c>
      <c r="G62" s="114">
        <f>'ESTIMACIÓN DEM. DE ENERGÍA'!B30*$D$29*$D$23*B62*1000</f>
        <v>386787.93104189786</v>
      </c>
      <c r="H62" s="114">
        <f>'ESTIMACIÓN DEM. DE ENERGÍA'!D30*$D$29*$D$26*B62*1000</f>
        <v>511890.80271858739</v>
      </c>
      <c r="I62" s="120">
        <f t="shared" si="1"/>
        <v>3576507.9021514552</v>
      </c>
    </row>
    <row r="63" spans="1:9">
      <c r="A63" s="424">
        <v>2043</v>
      </c>
      <c r="B63" s="311">
        <v>1</v>
      </c>
      <c r="C63" s="432">
        <f t="shared" si="0"/>
        <v>19133.400000000001</v>
      </c>
      <c r="D63" s="432">
        <f>INGRESOS!$D$9*'ESTIMACIÓN DEM. DE POT MAXIMA'!B33*12*INGRESOS!B63*1000</f>
        <v>407740.398947471</v>
      </c>
      <c r="E63" s="432">
        <f>INGRESOS!$D$12*'ESTIMACIÓN DEM. DE POT MAXIMA'!C33*12*INGRESOS!B63*1000</f>
        <v>362681.24665843922</v>
      </c>
      <c r="F63" s="114">
        <f>'ESTIMACIÓN DEM. DE ENERGÍA'!C31*$D$20*B63*1000</f>
        <v>1941448.0381528793</v>
      </c>
      <c r="G63" s="114">
        <f>'ESTIMACIÓN DEM. DE ENERGÍA'!B31*$D$29*$D$23*B63*1000</f>
        <v>394523.68966273579</v>
      </c>
      <c r="H63" s="114">
        <f>'ESTIMACIÓN DEM. DE ENERGÍA'!D31*$D$29*$D$26*B63*1000</f>
        <v>522128.61877295916</v>
      </c>
      <c r="I63" s="120">
        <f t="shared" si="1"/>
        <v>3647655.3921944848</v>
      </c>
    </row>
    <row r="64" spans="1:9">
      <c r="A64" s="424">
        <v>2044</v>
      </c>
      <c r="B64" s="311">
        <v>1</v>
      </c>
      <c r="C64" s="432">
        <f t="shared" si="0"/>
        <v>19133.400000000001</v>
      </c>
      <c r="D64" s="432">
        <f>INGRESOS!$D$9*'ESTIMACIÓN DEM. DE POT MAXIMA'!B34*12*INGRESOS!B64*1000</f>
        <v>415895.20692642056</v>
      </c>
      <c r="E64" s="432">
        <f>INGRESOS!$D$12*'ESTIMACIÓN DEM. DE POT MAXIMA'!C34*12*INGRESOS!B64*1000</f>
        <v>369934.87159160804</v>
      </c>
      <c r="F64" s="114">
        <f>'ESTIMACIÓN DEM. DE ENERGÍA'!C32*$D$20*B64*1000</f>
        <v>1980276.998915937</v>
      </c>
      <c r="G64" s="114">
        <f>'ESTIMACIÓN DEM. DE ENERGÍA'!B32*$D$29*$D$23*B64*1000</f>
        <v>402414.16345599049</v>
      </c>
      <c r="H64" s="114">
        <f>'ESTIMACIÓN DEM. DE ENERGÍA'!D32*$D$29*$D$26*B64*1000</f>
        <v>532571.19114841835</v>
      </c>
      <c r="I64" s="120">
        <f t="shared" si="1"/>
        <v>3720225.8320383746</v>
      </c>
    </row>
    <row r="65" spans="1:9">
      <c r="A65" s="424">
        <v>2045</v>
      </c>
      <c r="B65" s="311">
        <v>1</v>
      </c>
      <c r="C65" s="432">
        <f t="shared" si="0"/>
        <v>19133.400000000001</v>
      </c>
      <c r="D65" s="432">
        <f>INGRESOS!$D$9*'ESTIMACIÓN DEM. DE POT MAXIMA'!B35*12*INGRESOS!B65*1000</f>
        <v>424213.1110649489</v>
      </c>
      <c r="E65" s="432">
        <f>INGRESOS!$D$12*'ESTIMACIÓN DEM. DE POT MAXIMA'!C35*12*INGRESOS!B65*1000</f>
        <v>377333.56902344018</v>
      </c>
      <c r="F65" s="114">
        <f>'ESTIMACIÓN DEM. DE ENERGÍA'!C33*$D$20*B65*1000</f>
        <v>2019882.5388942556</v>
      </c>
      <c r="G65" s="114">
        <f>'ESTIMACIÓN DEM. DE ENERGÍA'!B33*$D$29*$D$23*B65*1000</f>
        <v>410462.44672511029</v>
      </c>
      <c r="H65" s="114">
        <f>'ESTIMACIÓN DEM. DE ENERGÍA'!D33*$D$29*$D$26*B65*1000</f>
        <v>543222.61497138662</v>
      </c>
      <c r="I65" s="120">
        <f t="shared" si="1"/>
        <v>3794247.680679142</v>
      </c>
    </row>
    <row r="66" spans="1:9">
      <c r="A66" s="424">
        <v>2046</v>
      </c>
      <c r="B66" s="311">
        <v>1</v>
      </c>
      <c r="C66" s="432">
        <f t="shared" si="0"/>
        <v>19133.400000000001</v>
      </c>
      <c r="D66" s="432">
        <f>INGRESOS!$D$9*'ESTIMACIÓN DEM. DE POT MAXIMA'!B36*12*INGRESOS!B66*1000</f>
        <v>432697.37328624784</v>
      </c>
      <c r="E66" s="432">
        <f>INGRESOS!$D$12*'ESTIMACIÓN DEM. DE POT MAXIMA'!C36*12*INGRESOS!B66*1000</f>
        <v>384880.24040390895</v>
      </c>
      <c r="F66" s="114">
        <f>'ESTIMACIÓN DEM. DE ENERGÍA'!C34*$D$20*B66*1000</f>
        <v>2060280.1896721406</v>
      </c>
      <c r="G66" s="114">
        <f>'ESTIMACIÓN DEM. DE ENERGÍA'!B34*$D$29*$D$23*B66*1000</f>
        <v>418671.69565961248</v>
      </c>
      <c r="H66" s="114">
        <f>'ESTIMACIÓN DEM. DE ENERGÍA'!D34*$D$29*$D$26*B66*1000</f>
        <v>554087.06727081444</v>
      </c>
      <c r="I66" s="120">
        <f t="shared" si="1"/>
        <v>3869749.966292724</v>
      </c>
    </row>
    <row r="67" spans="1:9">
      <c r="A67" s="424">
        <v>2047</v>
      </c>
      <c r="B67" s="311">
        <v>1</v>
      </c>
      <c r="C67" s="432">
        <f t="shared" si="0"/>
        <v>19133.400000000001</v>
      </c>
      <c r="D67" s="432">
        <f>INGRESOS!$D$9*'ESTIMACIÓN DEM. DE POT MAXIMA'!B37*12*INGRESOS!B67*1000</f>
        <v>441351.32075197285</v>
      </c>
      <c r="E67" s="432">
        <f>INGRESOS!$D$12*'ESTIMACIÓN DEM. DE POT MAXIMA'!C37*12*INGRESOS!B67*1000</f>
        <v>392577.84521198721</v>
      </c>
      <c r="F67" s="114">
        <f>'ESTIMACIÓN DEM. DE ENERGÍA'!C35*$D$20*B67*1000</f>
        <v>2101485.7934655836</v>
      </c>
      <c r="G67" s="114">
        <f>'ESTIMACIÓN DEM. DE ENERGÍA'!B35*$D$29*$D$23*B67*1000</f>
        <v>427045.12957280467</v>
      </c>
      <c r="H67" s="114">
        <f>'ESTIMACIÓN DEM. DE ENERGÍA'!D35*$D$29*$D$26*B67*1000</f>
        <v>565168.80861623061</v>
      </c>
      <c r="I67" s="120">
        <f t="shared" si="1"/>
        <v>3946762.2976185791</v>
      </c>
    </row>
    <row r="68" spans="1:9">
      <c r="A68" s="101"/>
      <c r="B68" s="116"/>
      <c r="C68" s="118"/>
      <c r="D68" s="118"/>
      <c r="E68" s="118"/>
      <c r="F68" s="119"/>
      <c r="G68" s="119"/>
      <c r="H68" s="119"/>
      <c r="I68" s="274"/>
    </row>
    <row r="70" spans="1:9">
      <c r="A70" s="630" t="s">
        <v>463</v>
      </c>
      <c r="B70" s="630"/>
      <c r="C70" s="630"/>
      <c r="D70" s="630"/>
      <c r="E70" s="630"/>
      <c r="F70" s="630"/>
      <c r="G70" s="630"/>
      <c r="H70" s="630"/>
      <c r="I70" s="630"/>
    </row>
    <row r="71" spans="1:9">
      <c r="A71" s="454" t="s">
        <v>79</v>
      </c>
      <c r="B71" s="462" t="s">
        <v>211</v>
      </c>
      <c r="C71" s="619" t="s">
        <v>80</v>
      </c>
      <c r="D71" s="619"/>
      <c r="E71" s="619"/>
      <c r="F71" s="619" t="s">
        <v>81</v>
      </c>
      <c r="G71" s="619"/>
      <c r="H71" s="619"/>
      <c r="I71" s="631" t="s">
        <v>217</v>
      </c>
    </row>
    <row r="72" spans="1:9" ht="45">
      <c r="A72" s="454"/>
      <c r="B72" s="462"/>
      <c r="C72" s="425" t="s">
        <v>209</v>
      </c>
      <c r="D72" s="425" t="s">
        <v>454</v>
      </c>
      <c r="E72" s="425" t="s">
        <v>453</v>
      </c>
      <c r="F72" s="425" t="s">
        <v>455</v>
      </c>
      <c r="G72" s="425" t="s">
        <v>210</v>
      </c>
      <c r="H72" s="425" t="s">
        <v>456</v>
      </c>
      <c r="I72" s="631"/>
    </row>
    <row r="73" spans="1:9">
      <c r="A73" s="424">
        <v>2017</v>
      </c>
      <c r="B73" s="311">
        <v>1</v>
      </c>
      <c r="C73" s="432">
        <f t="shared" ref="C73:C103" si="2">+$D$5*12*B73</f>
        <v>19133.400000000001</v>
      </c>
      <c r="D73" s="432">
        <f>INGRESOS!$D$9*'ESTIMACIÓN DEM. DE POT MAXIMA'!D7*12*INGRESOS!B73*1000</f>
        <v>243657.21600000001</v>
      </c>
      <c r="E73" s="432">
        <f>INGRESOS!$D$12*'ESTIMACIÓN DEM. DE POT MAXIMA'!E7*12*INGRESOS!B73*1000</f>
        <v>216730.8</v>
      </c>
      <c r="F73" s="114">
        <f>'ESTIMACIÓN DEM. DE ENERGÍA'!F5*$D$20*B73*1000</f>
        <v>1160169.1301772001</v>
      </c>
      <c r="G73" s="114">
        <f>'ESTIMACIÓN DEM. DE ENERGÍA'!E5*$D$29*$D$23*B73*1000</f>
        <v>235759.18431779993</v>
      </c>
      <c r="H73" s="114">
        <f>'ESTIMACIÓN DEM. DE ENERGÍA'!G5*$D$29*$D$26*B73*1000</f>
        <v>312013.24659648014</v>
      </c>
      <c r="I73" s="120">
        <f>SUM(C73:H73)</f>
        <v>2187462.97709148</v>
      </c>
    </row>
    <row r="74" spans="1:9">
      <c r="A74" s="424">
        <v>2018</v>
      </c>
      <c r="B74" s="311">
        <v>1</v>
      </c>
      <c r="C74" s="432">
        <f t="shared" si="2"/>
        <v>19133.400000000001</v>
      </c>
      <c r="D74" s="432">
        <f>INGRESOS!$D$9*'ESTIMACIÓN DEM. DE POT MAXIMA'!D8*12*INGRESOS!B74*1000</f>
        <v>253403.50464</v>
      </c>
      <c r="E74" s="432">
        <f>INGRESOS!$D$12*'ESTIMACIÓN DEM. DE POT MAXIMA'!E8*12*INGRESOS!B74*1000</f>
        <v>225400.03199999998</v>
      </c>
      <c r="F74" s="114">
        <f>'ESTIMACIÓN DEM. DE ENERGÍA'!F6*$D$20*B74*1000</f>
        <v>1206575.8953842882</v>
      </c>
      <c r="G74" s="114">
        <f>'ESTIMACIÓN DEM. DE ENERGÍA'!E6*$D$29*$D$23*B74*1000</f>
        <v>245189.5516905119</v>
      </c>
      <c r="H74" s="114">
        <f>'ESTIMACIÓN DEM. DE ENERGÍA'!G6*$D$29*$D$26*B74*1000</f>
        <v>324493.77646033932</v>
      </c>
      <c r="I74" s="120">
        <f>SUM(C74:H74)</f>
        <v>2274196.1601751391</v>
      </c>
    </row>
    <row r="75" spans="1:9">
      <c r="A75" s="424">
        <v>2019</v>
      </c>
      <c r="B75" s="311">
        <v>1</v>
      </c>
      <c r="C75" s="432">
        <f t="shared" si="2"/>
        <v>19133.400000000001</v>
      </c>
      <c r="D75" s="432">
        <f>INGRESOS!$D$9*'ESTIMACIÓN DEM. DE POT MAXIMA'!D9*12*INGRESOS!B75*1000</f>
        <v>263539.64482559997</v>
      </c>
      <c r="E75" s="432">
        <f>INGRESOS!$D$12*'ESTIMACIÓN DEM. DE POT MAXIMA'!E9*12*INGRESOS!B75*1000</f>
        <v>234416.03327999997</v>
      </c>
      <c r="F75" s="114">
        <f>'ESTIMACIÓN DEM. DE ENERGÍA'!F7*$D$20*B75*1000</f>
        <v>1254838.9311996596</v>
      </c>
      <c r="G75" s="114">
        <f>'ESTIMACIÓN DEM. DE ENERGÍA'!E7*$D$29*$D$23*B75*1000</f>
        <v>254997.13375813238</v>
      </c>
      <c r="H75" s="114">
        <f>'ESTIMACIÓN DEM. DE ENERGÍA'!G7*$D$29*$D$26*B75*1000</f>
        <v>337473.5275187529</v>
      </c>
      <c r="I75" s="120">
        <f t="shared" ref="I75:I103" si="3">SUM(C75:H75)</f>
        <v>2364398.670582145</v>
      </c>
    </row>
    <row r="76" spans="1:9">
      <c r="A76" s="424">
        <v>2020</v>
      </c>
      <c r="B76" s="311">
        <v>1</v>
      </c>
      <c r="C76" s="432">
        <f t="shared" si="2"/>
        <v>19133.400000000001</v>
      </c>
      <c r="D76" s="432">
        <f>INGRESOS!$D$9*'ESTIMACIÓN DEM. DE POT MAXIMA'!D10*12*INGRESOS!B76*1000</f>
        <v>274081.23061862396</v>
      </c>
      <c r="E76" s="432">
        <f>INGRESOS!$D$12*'ESTIMACIÓN DEM. DE POT MAXIMA'!E10*12*INGRESOS!B76*1000</f>
        <v>243792.6746112</v>
      </c>
      <c r="F76" s="114">
        <f>'ESTIMACIÓN DEM. DE ENERGÍA'!F8*$D$20*B76*1000</f>
        <v>1305032.4884476461</v>
      </c>
      <c r="G76" s="114">
        <f>'ESTIMACIÓN DEM. DE ENERGÍA'!E8*$D$29*$D$23*B76*1000</f>
        <v>265197.01910845767</v>
      </c>
      <c r="H76" s="114">
        <f>'ESTIMACIÓN DEM. DE ENERGÍA'!G8*$D$29*$D$26*B76*1000</f>
        <v>350972.46861950296</v>
      </c>
      <c r="I76" s="120">
        <f t="shared" si="3"/>
        <v>2458209.2814054308</v>
      </c>
    </row>
    <row r="77" spans="1:9">
      <c r="A77" s="424">
        <v>2021</v>
      </c>
      <c r="B77" s="311">
        <v>1</v>
      </c>
      <c r="C77" s="432">
        <f t="shared" si="2"/>
        <v>19133.400000000001</v>
      </c>
      <c r="D77" s="432">
        <f>INGRESOS!$D$9*'ESTIMACIÓN DEM. DE POT MAXIMA'!D11*12*INGRESOS!B77*1000</f>
        <v>285044.47984336899</v>
      </c>
      <c r="E77" s="432">
        <f>INGRESOS!$D$12*'ESTIMACIÓN DEM. DE POT MAXIMA'!E11*12*INGRESOS!B77*1000</f>
        <v>253544.38159564801</v>
      </c>
      <c r="F77" s="114">
        <f>'ESTIMACIÓN DEM. DE ENERGÍA'!F9*$D$20*B77*1000</f>
        <v>1357233.7879855521</v>
      </c>
      <c r="G77" s="114">
        <f>'ESTIMACIÓN DEM. DE ENERGÍA'!E9*$D$29*$D$23*B77*1000</f>
        <v>275804.89987279603</v>
      </c>
      <c r="H77" s="114">
        <f>'ESTIMACIÓN DEM. DE ENERGÍA'!G9*$D$29*$D$26*B77*1000</f>
        <v>365011.36736428313</v>
      </c>
      <c r="I77" s="120">
        <f t="shared" si="3"/>
        <v>2555772.3166616485</v>
      </c>
    </row>
    <row r="78" spans="1:9">
      <c r="A78" s="424">
        <v>2022</v>
      </c>
      <c r="B78" s="311">
        <v>1</v>
      </c>
      <c r="C78" s="432">
        <f t="shared" si="2"/>
        <v>19133.400000000001</v>
      </c>
      <c r="D78" s="432">
        <f>INGRESOS!$D$9*'ESTIMACIÓN DEM. DE POT MAXIMA'!D12*12*INGRESOS!B78*1000</f>
        <v>296446.25903710374</v>
      </c>
      <c r="E78" s="432">
        <f>INGRESOS!$D$12*'ESTIMACIÓN DEM. DE POT MAXIMA'!E12*12*INGRESOS!B78*1000</f>
        <v>263686.15685947397</v>
      </c>
      <c r="F78" s="114">
        <f>'ESTIMACIÓN DEM. DE ENERGÍA'!F10*$D$20*B78*1000</f>
        <v>1411523.1395049738</v>
      </c>
      <c r="G78" s="114">
        <f>'ESTIMACIÓN DEM. DE ENERGÍA'!E10*$D$29*$D$23*B78*1000</f>
        <v>286837.09586770786</v>
      </c>
      <c r="H78" s="114">
        <f>'ESTIMACIÓN DEM. DE ENERGÍA'!G10*$D$29*$D$26*B78*1000</f>
        <v>379611.82205885451</v>
      </c>
      <c r="I78" s="120">
        <f t="shared" si="3"/>
        <v>2657237.8733281139</v>
      </c>
    </row>
    <row r="79" spans="1:9">
      <c r="A79" s="424">
        <v>2023</v>
      </c>
      <c r="B79" s="311">
        <v>1</v>
      </c>
      <c r="C79" s="432">
        <f t="shared" si="2"/>
        <v>19133.400000000001</v>
      </c>
      <c r="D79" s="432">
        <f>INGRESOS!$D$9*'ESTIMACIÓN DEM. DE POT MAXIMA'!D13*12*INGRESOS!B79*1000</f>
        <v>308304.1093985879</v>
      </c>
      <c r="E79" s="432">
        <f>INGRESOS!$D$12*'ESTIMACIÓN DEM. DE POT MAXIMA'!E13*12*INGRESOS!B79*1000</f>
        <v>274233.60313385288</v>
      </c>
      <c r="F79" s="114">
        <f>'ESTIMACIÓN DEM. DE ENERGÍA'!F11*$D$20*B79*1000</f>
        <v>1467984.0650851729</v>
      </c>
      <c r="G79" s="114">
        <f>'ESTIMACIÓN DEM. DE ENERGÍA'!E11*$D$29*$D$23*B79*1000</f>
        <v>298310.57970241614</v>
      </c>
      <c r="H79" s="114">
        <f>'ESTIMACIÓN DEM. DE ENERGÍA'!G11*$D$29*$D$26*B79*1000</f>
        <v>394796.29494120862</v>
      </c>
      <c r="I79" s="120">
        <f t="shared" si="3"/>
        <v>2762762.0522612385</v>
      </c>
    </row>
    <row r="80" spans="1:9">
      <c r="A80" s="424">
        <v>2024</v>
      </c>
      <c r="B80" s="311">
        <v>1</v>
      </c>
      <c r="C80" s="432">
        <f t="shared" si="2"/>
        <v>19133.400000000001</v>
      </c>
      <c r="D80" s="432">
        <f>INGRESOS!$D$9*'ESTIMACIÓN DEM. DE POT MAXIMA'!D14*12*INGRESOS!B80*1000</f>
        <v>320636.27377453138</v>
      </c>
      <c r="E80" s="432">
        <f>INGRESOS!$D$12*'ESTIMACIÓN DEM. DE POT MAXIMA'!E14*12*INGRESOS!B80*1000</f>
        <v>285202.94725920702</v>
      </c>
      <c r="F80" s="114">
        <f>'ESTIMACIÓN DEM. DE ENERGÍA'!F12*$D$20*B80*1000</f>
        <v>1526703.4276885798</v>
      </c>
      <c r="G80" s="114">
        <f>'ESTIMACIÓN DEM. DE ENERGÍA'!E12*$D$29*$D$23*B80*1000</f>
        <v>310243.00289051281</v>
      </c>
      <c r="H80" s="114">
        <f>'ESTIMACIÓN DEM. DE ENERGÍA'!G12*$D$29*$D$26*B80*1000</f>
        <v>410588.14673885697</v>
      </c>
      <c r="I80" s="120">
        <f t="shared" si="3"/>
        <v>2872507.1983516882</v>
      </c>
    </row>
    <row r="81" spans="1:9">
      <c r="A81" s="424">
        <v>2025</v>
      </c>
      <c r="B81" s="311">
        <v>1</v>
      </c>
      <c r="C81" s="432">
        <f t="shared" si="2"/>
        <v>19133.400000000001</v>
      </c>
      <c r="D81" s="432">
        <f>INGRESOS!$D$9*'ESTIMACIÓN DEM. DE POT MAXIMA'!D15*12*INGRESOS!B81*1000</f>
        <v>333461.72472551261</v>
      </c>
      <c r="E81" s="432">
        <f>INGRESOS!$D$12*'ESTIMACIÓN DEM. DE POT MAXIMA'!E15*12*INGRESOS!B81*1000</f>
        <v>296611.0651495753</v>
      </c>
      <c r="F81" s="114">
        <f>'ESTIMACIÓN DEM. DE ENERGÍA'!F13*$D$20*B81*1000</f>
        <v>1587771.564796123</v>
      </c>
      <c r="G81" s="114">
        <f>'ESTIMACIÓN DEM. DE ENERGÍA'!E13*$D$29*$D$23*B81*1000</f>
        <v>322652.72300613328</v>
      </c>
      <c r="H81" s="114">
        <f>'ESTIMACIÓN DEM. DE ENERGÍA'!G13*$D$29*$D$26*B81*1000</f>
        <v>427011.67260841123</v>
      </c>
      <c r="I81" s="120">
        <f t="shared" si="3"/>
        <v>2986642.1502857557</v>
      </c>
    </row>
    <row r="82" spans="1:9">
      <c r="A82" s="424">
        <v>2026</v>
      </c>
      <c r="B82" s="311">
        <v>1</v>
      </c>
      <c r="C82" s="432">
        <f t="shared" si="2"/>
        <v>19133.400000000001</v>
      </c>
      <c r="D82" s="432">
        <f>INGRESOS!$D$9*'ESTIMACIÓN DEM. DE POT MAXIMA'!D16*12*INGRESOS!B82*1000</f>
        <v>346800.19371453312</v>
      </c>
      <c r="E82" s="432">
        <f>INGRESOS!$D$12*'ESTIMACIÓN DEM. DE POT MAXIMA'!E16*12*INGRESOS!B82*1000</f>
        <v>308475.5077555583</v>
      </c>
      <c r="F82" s="114">
        <f>'ESTIMACIÓN DEM. DE ENERGÍA'!F14*$D$20*B82*1000</f>
        <v>1651282.4273879677</v>
      </c>
      <c r="G82" s="114">
        <f>'ESTIMACIÓN DEM. DE ENERGÍA'!E14*$D$29*$D$23*B82*1000</f>
        <v>335558.83192637865</v>
      </c>
      <c r="H82" s="114">
        <f>'ESTIMACIÓN DEM. DE ENERGÍA'!G14*$D$29*$D$26*B82*1000</f>
        <v>444092.1395127477</v>
      </c>
      <c r="I82" s="120">
        <f t="shared" si="3"/>
        <v>3105342.500297185</v>
      </c>
    </row>
    <row r="83" spans="1:9">
      <c r="A83" s="424">
        <v>2027</v>
      </c>
      <c r="B83" s="311">
        <v>1</v>
      </c>
      <c r="C83" s="432">
        <f t="shared" si="2"/>
        <v>19133.400000000001</v>
      </c>
      <c r="D83" s="432">
        <f>INGRESOS!$D$9*'ESTIMACIÓN DEM. DE POT MAXIMA'!D17*12*INGRESOS!B83*1000</f>
        <v>360672.20146311447</v>
      </c>
      <c r="E83" s="432">
        <f>INGRESOS!$D$12*'ESTIMACIÓN DEM. DE POT MAXIMA'!E17*12*INGRESOS!B83*1000</f>
        <v>320814.52806578064</v>
      </c>
      <c r="F83" s="114">
        <f>'ESTIMACIÓN DEM. DE ENERGÍA'!F15*$D$20*B83*1000</f>
        <v>1717333.7244834865</v>
      </c>
      <c r="G83" s="114">
        <f>'ESTIMACIÓN DEM. DE ENERGÍA'!E15*$D$29*$D$23*B83*1000</f>
        <v>348981.18520343385</v>
      </c>
      <c r="H83" s="114">
        <f>'ESTIMACIÓN DEM. DE ENERGÍA'!G15*$D$29*$D$26*B83*1000</f>
        <v>461855.82509325759</v>
      </c>
      <c r="I83" s="120">
        <f t="shared" si="3"/>
        <v>3228790.8643090734</v>
      </c>
    </row>
    <row r="84" spans="1:9">
      <c r="A84" s="424">
        <v>2028</v>
      </c>
      <c r="B84" s="311">
        <v>1</v>
      </c>
      <c r="C84" s="432">
        <f t="shared" si="2"/>
        <v>19133.400000000001</v>
      </c>
      <c r="D84" s="432">
        <f>INGRESOS!$D$9*'ESTIMACIÓN DEM. DE POT MAXIMA'!D18*12*INGRESOS!B84*1000</f>
        <v>375099.08952163905</v>
      </c>
      <c r="E84" s="432">
        <f>INGRESOS!$D$12*'ESTIMACIÓN DEM. DE POT MAXIMA'!E18*12*INGRESOS!B84*1000</f>
        <v>333647.10918841191</v>
      </c>
      <c r="F84" s="114">
        <f>'ESTIMACIÓN DEM. DE ENERGÍA'!F16*$D$20*B84*1000</f>
        <v>1786027.073462826</v>
      </c>
      <c r="G84" s="114">
        <f>'ESTIMACIÓN DEM. DE ENERGÍA'!E16*$D$29*$D$23*B84*1000</f>
        <v>362940.43261157116</v>
      </c>
      <c r="H84" s="114">
        <f>'ESTIMACIÓN DEM. DE ENERGÍA'!G16*$D$29*$D$26*B84*1000</f>
        <v>480330.05809698784</v>
      </c>
      <c r="I84" s="120">
        <f t="shared" si="3"/>
        <v>3357177.1628814358</v>
      </c>
    </row>
    <row r="85" spans="1:9">
      <c r="A85" s="424">
        <v>2029</v>
      </c>
      <c r="B85" s="311">
        <v>1</v>
      </c>
      <c r="C85" s="432">
        <f t="shared" si="2"/>
        <v>19133.400000000001</v>
      </c>
      <c r="D85" s="432">
        <f>INGRESOS!$D$9*'ESTIMACIÓN DEM. DE POT MAXIMA'!D19*12*INGRESOS!B85*1000</f>
        <v>390103.05310250458</v>
      </c>
      <c r="E85" s="432">
        <f>INGRESOS!$D$12*'ESTIMACIÓN DEM. DE POT MAXIMA'!E19*12*INGRESOS!B85*1000</f>
        <v>346992.99355594837</v>
      </c>
      <c r="F85" s="114">
        <f>'ESTIMACIÓN DEM. DE ENERGÍA'!F17*$D$20*B85*1000</f>
        <v>1857468.156401339</v>
      </c>
      <c r="G85" s="114">
        <f>'ESTIMACIÓN DEM. DE ENERGÍA'!E17*$D$29*$D$23*B85*1000</f>
        <v>377458.04991603404</v>
      </c>
      <c r="H85" s="114">
        <f>'ESTIMACIÓN DEM. DE ENERGÍA'!G17*$D$29*$D$26*B85*1000</f>
        <v>499543.26042086736</v>
      </c>
      <c r="I85" s="120">
        <f t="shared" si="3"/>
        <v>3490698.9133966933</v>
      </c>
    </row>
    <row r="86" spans="1:9">
      <c r="A86" s="424">
        <v>2030</v>
      </c>
      <c r="B86" s="311">
        <v>1</v>
      </c>
      <c r="C86" s="432">
        <f t="shared" si="2"/>
        <v>19133.400000000001</v>
      </c>
      <c r="D86" s="432">
        <f>INGRESOS!$D$9*'ESTIMACIÓN DEM. DE POT MAXIMA'!D20*12*INGRESOS!B86*1000</f>
        <v>405707.1752266048</v>
      </c>
      <c r="E86" s="432">
        <f>INGRESOS!$D$12*'ESTIMACIÓN DEM. DE POT MAXIMA'!E20*12*INGRESOS!B86*1000</f>
        <v>360872.71329818631</v>
      </c>
      <c r="F86" s="114">
        <f>'ESTIMACIÓN DEM. DE ENERGÍA'!F18*$D$20*B86*1000</f>
        <v>1931766.8826573926</v>
      </c>
      <c r="G86" s="114">
        <f>'ESTIMACIÓN DEM. DE ENERGÍA'!E18*$D$29*$D$23*B86*1000</f>
        <v>392556.37191267539</v>
      </c>
      <c r="H86" s="114">
        <f>'ESTIMACIÓN DEM. DE ENERGÍA'!G18*$D$29*$D$26*B86*1000</f>
        <v>519524.99083770212</v>
      </c>
      <c r="I86" s="120">
        <f t="shared" si="3"/>
        <v>3629561.5339325611</v>
      </c>
    </row>
    <row r="87" spans="1:9">
      <c r="A87" s="424">
        <v>2031</v>
      </c>
      <c r="B87" s="311">
        <v>1</v>
      </c>
      <c r="C87" s="432">
        <f t="shared" si="2"/>
        <v>19133.400000000001</v>
      </c>
      <c r="D87" s="432">
        <f>INGRESOS!$D$9*'ESTIMACIÓN DEM. DE POT MAXIMA'!D21*12*INGRESOS!B87*1000</f>
        <v>421935.46223566902</v>
      </c>
      <c r="E87" s="432">
        <f>INGRESOS!$D$12*'ESTIMACIÓN DEM. DE POT MAXIMA'!E21*12*INGRESOS!B87*1000</f>
        <v>375307.62183011376</v>
      </c>
      <c r="F87" s="114">
        <f>'ESTIMACIÓN DEM. DE ENERGÍA'!F19*$D$20*B87*1000</f>
        <v>2009037.5579636884</v>
      </c>
      <c r="G87" s="114">
        <f>'ESTIMACIÓN DEM. DE ENERGÍA'!E19*$D$29*$D$23*B87*1000</f>
        <v>408258.62678918242</v>
      </c>
      <c r="H87" s="114">
        <f>'ESTIMACIÓN DEM. DE ENERGÍA'!G19*$D$29*$D$26*B87*1000</f>
        <v>540305.99047121021</v>
      </c>
      <c r="I87" s="120">
        <f t="shared" si="3"/>
        <v>3773978.6592898639</v>
      </c>
    </row>
    <row r="88" spans="1:9">
      <c r="A88" s="424">
        <v>2032</v>
      </c>
      <c r="B88" s="311">
        <v>1</v>
      </c>
      <c r="C88" s="432">
        <f t="shared" si="2"/>
        <v>19133.400000000001</v>
      </c>
      <c r="D88" s="432">
        <f>INGRESOS!$D$9*'ESTIMACIÓN DEM. DE POT MAXIMA'!D22*12*INGRESOS!B88*1000</f>
        <v>438812.88072509575</v>
      </c>
      <c r="E88" s="432">
        <f>INGRESOS!$D$12*'ESTIMACIÓN DEM. DE POT MAXIMA'!E22*12*INGRESOS!B88*1000</f>
        <v>390319.92670331837</v>
      </c>
      <c r="F88" s="114">
        <f>'ESTIMACIÓN DEM. DE ENERGÍA'!F20*$D$20*B88*1000</f>
        <v>2089399.060282236</v>
      </c>
      <c r="G88" s="114">
        <f>'ESTIMACIÓN DEM. DE ENERGÍA'!E20*$D$29*$D$23*B88*1000</f>
        <v>424588.97186074971</v>
      </c>
      <c r="H88" s="114">
        <f>'ESTIMACIÓN DEM. DE ENERGÍA'!G20*$D$29*$D$26*B88*1000</f>
        <v>561918.23009005864</v>
      </c>
      <c r="I88" s="120">
        <f t="shared" si="3"/>
        <v>3924172.4696614584</v>
      </c>
    </row>
    <row r="89" spans="1:9">
      <c r="A89" s="424">
        <v>2033</v>
      </c>
      <c r="B89" s="311">
        <v>1</v>
      </c>
      <c r="C89" s="432">
        <f t="shared" si="2"/>
        <v>19133.400000000001</v>
      </c>
      <c r="D89" s="432">
        <f>INGRESOS!$D$9*'ESTIMACIÓN DEM. DE POT MAXIMA'!D23*12*INGRESOS!B89*1000</f>
        <v>456365.3959540996</v>
      </c>
      <c r="E89" s="432">
        <f>INGRESOS!$D$12*'ESTIMACIÓN DEM. DE POT MAXIMA'!E23*12*INGRESOS!B89*1000</f>
        <v>405932.72377145104</v>
      </c>
      <c r="F89" s="114">
        <f>'ESTIMACIÓN DEM. DE ENERGÍA'!F21*$D$20*B89*1000</f>
        <v>2172975.0226935251</v>
      </c>
      <c r="G89" s="114">
        <f>'ESTIMACIÓN DEM. DE ENERGÍA'!E21*$D$29*$D$23*B89*1000</f>
        <v>441572.53073517961</v>
      </c>
      <c r="H89" s="114">
        <f>'ESTIMACIÓN DEM. DE ENERGÍA'!G21*$D$29*$D$26*B89*1000</f>
        <v>584394.95929366094</v>
      </c>
      <c r="I89" s="120">
        <f t="shared" si="3"/>
        <v>4080374.0324479165</v>
      </c>
    </row>
    <row r="90" spans="1:9">
      <c r="A90" s="424">
        <v>2034</v>
      </c>
      <c r="B90" s="311">
        <v>1</v>
      </c>
      <c r="C90" s="432">
        <f t="shared" si="2"/>
        <v>19133.400000000001</v>
      </c>
      <c r="D90" s="432">
        <f>INGRESOS!$D$9*'ESTIMACIÓN DEM. DE POT MAXIMA'!D24*12*INGRESOS!B90*1000</f>
        <v>474620.01179226366</v>
      </c>
      <c r="E90" s="432">
        <f>INGRESOS!$D$12*'ESTIMACIÓN DEM. DE POT MAXIMA'!E24*12*INGRESOS!B90*1000</f>
        <v>422170.03272230906</v>
      </c>
      <c r="F90" s="114">
        <f>'ESTIMACIÓN DEM. DE ENERGÍA'!F22*$D$20*B90*1000</f>
        <v>2259894.0236012666</v>
      </c>
      <c r="G90" s="114">
        <f>'ESTIMACIÓN DEM. DE ENERGÍA'!E22*$D$29*$D$23*B90*1000</f>
        <v>459235.43196458678</v>
      </c>
      <c r="H90" s="114">
        <f>'ESTIMACIÓN DEM. DE ENERGÍA'!G22*$D$29*$D$26*B90*1000</f>
        <v>607770.75766540738</v>
      </c>
      <c r="I90" s="120">
        <f t="shared" si="3"/>
        <v>4242823.6577458335</v>
      </c>
    </row>
    <row r="91" spans="1:9">
      <c r="A91" s="424">
        <v>2035</v>
      </c>
      <c r="B91" s="311">
        <v>1</v>
      </c>
      <c r="C91" s="432">
        <f t="shared" si="2"/>
        <v>19133.400000000001</v>
      </c>
      <c r="D91" s="432">
        <f>INGRESOS!$D$9*'ESTIMACIÓN DEM. DE POT MAXIMA'!D25*12*INGRESOS!B91*1000</f>
        <v>493604.81226395408</v>
      </c>
      <c r="E91" s="432">
        <f>INGRESOS!$D$12*'ESTIMACIÓN DEM. DE POT MAXIMA'!E25*12*INGRESOS!B91*1000</f>
        <v>439056.83403120132</v>
      </c>
      <c r="F91" s="114">
        <f>'ESTIMACIÓN DEM. DE ENERGÍA'!F23*$D$20*B91*1000</f>
        <v>2350289.7845453173</v>
      </c>
      <c r="G91" s="114">
        <f>'ESTIMACIÓN DEM. DE ENERGÍA'!E23*$D$29*$D$23*B91*1000</f>
        <v>477604.84924317023</v>
      </c>
      <c r="H91" s="114">
        <f>'ESTIMACIÓN DEM. DE ENERGÍA'!G23*$D$29*$D$26*B91*1000</f>
        <v>632081.58797202364</v>
      </c>
      <c r="I91" s="120">
        <f t="shared" si="3"/>
        <v>4411771.2680556662</v>
      </c>
    </row>
    <row r="92" spans="1:9">
      <c r="A92" s="424">
        <v>2036</v>
      </c>
      <c r="B92" s="311">
        <v>1</v>
      </c>
      <c r="C92" s="432">
        <f t="shared" si="2"/>
        <v>19133.400000000001</v>
      </c>
      <c r="D92" s="432">
        <f>INGRESOS!$D$9*'ESTIMACIÓN DEM. DE POT MAXIMA'!D26*12*INGRESOS!B92*1000</f>
        <v>513349.00475451228</v>
      </c>
      <c r="E92" s="432">
        <f>INGRESOS!$D$12*'ESTIMACIÓN DEM. DE POT MAXIMA'!E26*12*INGRESOS!B92*1000</f>
        <v>456619.10739244946</v>
      </c>
      <c r="F92" s="114">
        <f>'ESTIMACIÓN DEM. DE ENERGÍA'!F24*$D$20*B92*1000</f>
        <v>2444301.3759271298</v>
      </c>
      <c r="G92" s="114">
        <f>'ESTIMACIÓN DEM. DE ENERGÍA'!E24*$D$29*$D$23*B92*1000</f>
        <v>496709.04321289709</v>
      </c>
      <c r="H92" s="114">
        <f>'ESTIMACIÓN DEM. DE ENERGÍA'!G24*$D$29*$D$26*B92*1000</f>
        <v>657364.85149090458</v>
      </c>
      <c r="I92" s="120">
        <f t="shared" si="3"/>
        <v>4587476.7827778934</v>
      </c>
    </row>
    <row r="93" spans="1:9">
      <c r="A93" s="424">
        <v>2037</v>
      </c>
      <c r="B93" s="311">
        <v>1</v>
      </c>
      <c r="C93" s="432">
        <f>+$D$5*12*B93</f>
        <v>19133.400000000001</v>
      </c>
      <c r="D93" s="432">
        <f>INGRESOS!$D$9*'ESTIMACIÓN DEM. DE POT MAXIMA'!D27*12*INGRESOS!B93*1000</f>
        <v>533882.96494469268</v>
      </c>
      <c r="E93" s="432">
        <f>INGRESOS!$D$12*'ESTIMACIÓN DEM. DE POT MAXIMA'!E27*12*INGRESOS!B93*1000</f>
        <v>474883.87168814742</v>
      </c>
      <c r="F93" s="114">
        <f>'ESTIMACIÓN DEM. DE ENERGÍA'!F25*$D$20*B93*1000</f>
        <v>2542073.4309642152</v>
      </c>
      <c r="G93" s="114">
        <f>'ESTIMACIÓN DEM. DE ENERGÍA'!E25*$D$29*$D$23*B93*1000</f>
        <v>516577.40494141297</v>
      </c>
      <c r="H93" s="114">
        <f>'ESTIMACIÓN DEM. DE ENERGÍA'!G25*$D$29*$D$26*B93*1000</f>
        <v>683659.44555054081</v>
      </c>
      <c r="I93" s="120">
        <f t="shared" si="3"/>
        <v>4770210.5180890094</v>
      </c>
    </row>
    <row r="94" spans="1:9">
      <c r="A94" s="424">
        <v>2038</v>
      </c>
      <c r="B94" s="311">
        <v>1</v>
      </c>
      <c r="C94" s="432">
        <f t="shared" si="2"/>
        <v>19133.400000000001</v>
      </c>
      <c r="D94" s="432">
        <f>INGRESOS!$D$9*'ESTIMACIÓN DEM. DE POT MAXIMA'!D28*12*INGRESOS!B94*1000</f>
        <v>555238.28354248055</v>
      </c>
      <c r="E94" s="432">
        <f>INGRESOS!$D$12*'ESTIMACIÓN DEM. DE POT MAXIMA'!E28*12*INGRESOS!B94*1000</f>
        <v>493879.22655567329</v>
      </c>
      <c r="F94" s="114">
        <f>'ESTIMACIÓN DEM. DE ENERGÍA'!F26*$D$20*B94*1000</f>
        <v>2643756.3682027841</v>
      </c>
      <c r="G94" s="114">
        <f>'ESTIMACIÓN DEM. DE ENERGÍA'!E26*$D$29*$D$23*B94*1000</f>
        <v>537240.50113906944</v>
      </c>
      <c r="H94" s="114">
        <f>'ESTIMACIÓN DEM. DE ENERGÍA'!G26*$D$29*$D$26*B94*1000</f>
        <v>711005.82337256242</v>
      </c>
      <c r="I94" s="120">
        <f t="shared" si="3"/>
        <v>4960253.6028125705</v>
      </c>
    </row>
    <row r="95" spans="1:9">
      <c r="A95" s="424">
        <v>2039</v>
      </c>
      <c r="B95" s="311">
        <v>1</v>
      </c>
      <c r="C95" s="432">
        <f t="shared" si="2"/>
        <v>19133.400000000001</v>
      </c>
      <c r="D95" s="432">
        <f>INGRESOS!$D$9*'ESTIMACIÓN DEM. DE POT MAXIMA'!D29*12*INGRESOS!B95*1000</f>
        <v>577447.81488417962</v>
      </c>
      <c r="E95" s="432">
        <f>INGRESOS!$D$12*'ESTIMACIÓN DEM. DE POT MAXIMA'!E29*12*INGRESOS!B95*1000</f>
        <v>513634.3956179003</v>
      </c>
      <c r="F95" s="114">
        <f>'ESTIMACIÓN DEM. DE ENERGÍA'!F27*$D$20*B95*1000</f>
        <v>2749506.6229308951</v>
      </c>
      <c r="G95" s="114">
        <f>'ESTIMACIÓN DEM. DE ENERGÍA'!E27*$D$29*$D$23*B95*1000</f>
        <v>558730.1211846323</v>
      </c>
      <c r="H95" s="114">
        <f>'ESTIMACIÓN DEM. DE ENERGÍA'!G27*$D$29*$D$26*B95*1000</f>
        <v>739446.05630746495</v>
      </c>
      <c r="I95" s="120">
        <f t="shared" si="3"/>
        <v>5157898.4109250726</v>
      </c>
    </row>
    <row r="96" spans="1:9">
      <c r="A96" s="424">
        <v>2040</v>
      </c>
      <c r="B96" s="311">
        <v>1</v>
      </c>
      <c r="C96" s="432">
        <f t="shared" si="2"/>
        <v>19133.400000000001</v>
      </c>
      <c r="D96" s="432">
        <f>INGRESOS!$D$9*'ESTIMACIÓN DEM. DE POT MAXIMA'!D30*12*INGRESOS!B96*1000</f>
        <v>600545.72747954691</v>
      </c>
      <c r="E96" s="432">
        <f>INGRESOS!$D$12*'ESTIMACIÓN DEM. DE POT MAXIMA'!E30*12*INGRESOS!B96*1000</f>
        <v>534179.77144261624</v>
      </c>
      <c r="F96" s="114">
        <f>'ESTIMACIÓN DEM. DE ENERGÍA'!F28*$D$20*B96*1000</f>
        <v>2859486.8878481309</v>
      </c>
      <c r="G96" s="114">
        <f>'ESTIMACIÓN DEM. DE ENERGÍA'!E28*$D$29*$D$23*B96*1000</f>
        <v>581079.32603201747</v>
      </c>
      <c r="H96" s="114">
        <f>'ESTIMACIÓN DEM. DE ENERGÍA'!G28*$D$29*$D$26*B96*1000</f>
        <v>769023.89855976356</v>
      </c>
      <c r="I96" s="120">
        <f t="shared" si="3"/>
        <v>5363449.0113620758</v>
      </c>
    </row>
    <row r="97" spans="1:9">
      <c r="A97" s="424">
        <v>2041</v>
      </c>
      <c r="B97" s="311">
        <v>1</v>
      </c>
      <c r="C97" s="432">
        <f t="shared" si="2"/>
        <v>19133.400000000001</v>
      </c>
      <c r="D97" s="432">
        <f>INGRESOS!$D$9*'ESTIMACIÓN DEM. DE POT MAXIMA'!D31*12*INGRESOS!B97*1000</f>
        <v>624567.55657872884</v>
      </c>
      <c r="E97" s="432">
        <f>INGRESOS!$D$12*'ESTIMACIÓN DEM. DE POT MAXIMA'!E31*12*INGRESOS!B97*1000</f>
        <v>555546.96230032097</v>
      </c>
      <c r="F97" s="114">
        <f>'ESTIMACIÓN DEM. DE ENERGÍA'!F29*$D$20*B97*1000</f>
        <v>2973866.3633620562</v>
      </c>
      <c r="G97" s="114">
        <f>'ESTIMACIÓN DEM. DE ENERGÍA'!E29*$D$29*$D$23*B97*1000</f>
        <v>604322.49907329818</v>
      </c>
      <c r="H97" s="114">
        <f>'ESTIMACIÓN DEM. DE ENERGÍA'!G29*$D$29*$D$26*B97*1000</f>
        <v>799784.85450215405</v>
      </c>
      <c r="I97" s="120">
        <f t="shared" si="3"/>
        <v>5577221.6358165592</v>
      </c>
    </row>
    <row r="98" spans="1:9">
      <c r="A98" s="424">
        <v>2042</v>
      </c>
      <c r="B98" s="311">
        <v>1</v>
      </c>
      <c r="C98" s="432">
        <f t="shared" si="2"/>
        <v>19133.400000000001</v>
      </c>
      <c r="D98" s="432">
        <f>INGRESOS!$D$9*'ESTIMACIÓN DEM. DE POT MAXIMA'!D32*12*INGRESOS!B98*1000</f>
        <v>649550.25884187792</v>
      </c>
      <c r="E98" s="432">
        <f>INGRESOS!$D$12*'ESTIMACIÓN DEM. DE POT MAXIMA'!E32*12*INGRESOS!B98*1000</f>
        <v>577768.84079233382</v>
      </c>
      <c r="F98" s="114">
        <f>'ESTIMACIÓN DEM. DE ENERGÍA'!F30*$D$20*B98*1000</f>
        <v>3092821.0178965386</v>
      </c>
      <c r="G98" s="114">
        <f>'ESTIMACIÓN DEM. DE ENERGÍA'!E30*$D$29*$D$23*B98*1000</f>
        <v>628495.39903623017</v>
      </c>
      <c r="H98" s="114">
        <f>'ESTIMACIÓN DEM. DE ENERGÍA'!G30*$D$29*$D$26*B98*1000</f>
        <v>831776.24868224014</v>
      </c>
      <c r="I98" s="120">
        <f t="shared" si="3"/>
        <v>5799545.165249221</v>
      </c>
    </row>
    <row r="99" spans="1:9">
      <c r="A99" s="424">
        <v>2043</v>
      </c>
      <c r="B99" s="311">
        <v>1</v>
      </c>
      <c r="C99" s="432">
        <f t="shared" si="2"/>
        <v>19133.400000000001</v>
      </c>
      <c r="D99" s="432">
        <f>INGRESOS!$D$9*'ESTIMACIÓN DEM. DE POT MAXIMA'!D33*12*INGRESOS!B99*1000</f>
        <v>675532.26919555315</v>
      </c>
      <c r="E99" s="432">
        <f>INGRESOS!$D$12*'ESTIMACIÓN DEM. DE POT MAXIMA'!E33*12*INGRESOS!B99*1000</f>
        <v>600879.59442402713</v>
      </c>
      <c r="F99" s="114">
        <f>'ESTIMACIÓN DEM. DE ENERGÍA'!F31*$D$20*B99*1000</f>
        <v>3216533.8586124005</v>
      </c>
      <c r="G99" s="114">
        <f>'ESTIMACIÓN DEM. DE ENERGÍA'!E31*$D$29*$D$23*B99*1000</f>
        <v>653635.21499767934</v>
      </c>
      <c r="H99" s="114">
        <f>'ESTIMACIÓN DEM. DE ENERGÍA'!G31*$D$29*$D$26*B99*1000</f>
        <v>865047.29862952977</v>
      </c>
      <c r="I99" s="120">
        <f t="shared" si="3"/>
        <v>6030761.6358591896</v>
      </c>
    </row>
    <row r="100" spans="1:9">
      <c r="A100" s="424">
        <v>2044</v>
      </c>
      <c r="B100" s="311">
        <v>1</v>
      </c>
      <c r="C100" s="432">
        <f t="shared" si="2"/>
        <v>19133.400000000001</v>
      </c>
      <c r="D100" s="432">
        <f>INGRESOS!$D$9*'ESTIMACIÓN DEM. DE POT MAXIMA'!D34*12*INGRESOS!B100*1000</f>
        <v>702553.55996337533</v>
      </c>
      <c r="E100" s="432">
        <f>INGRESOS!$D$12*'ESTIMACIÓN DEM. DE POT MAXIMA'!E34*12*INGRESOS!B100*1000</f>
        <v>624914.77820098819</v>
      </c>
      <c r="F100" s="114">
        <f>'ESTIMACIÓN DEM. DE ENERGÍA'!F32*$D$20*B100*1000</f>
        <v>3345195.2129568961</v>
      </c>
      <c r="G100" s="114">
        <f>'ESTIMACIÓN DEM. DE ENERGÍA'!E32*$D$29*$D$23*B100*1000</f>
        <v>679780.62359758641</v>
      </c>
      <c r="H100" s="114">
        <f>'ESTIMACIÓN DEM. DE ENERGÍA'!G32*$D$29*$D$26*B100*1000</f>
        <v>899649.19057471096</v>
      </c>
      <c r="I100" s="120">
        <f t="shared" si="3"/>
        <v>6271226.7652935572</v>
      </c>
    </row>
    <row r="101" spans="1:9">
      <c r="A101" s="424">
        <v>2045</v>
      </c>
      <c r="B101" s="311">
        <v>1</v>
      </c>
      <c r="C101" s="432">
        <f t="shared" si="2"/>
        <v>19133.400000000001</v>
      </c>
      <c r="D101" s="432">
        <f>INGRESOS!$D$9*'ESTIMACIÓN DEM. DE POT MAXIMA'!D35*12*INGRESOS!B101*1000</f>
        <v>730655.70236191025</v>
      </c>
      <c r="E101" s="432">
        <f>INGRESOS!$D$12*'ESTIMACIÓN DEM. DE POT MAXIMA'!E35*12*INGRESOS!B101*1000</f>
        <v>649911.36932902772</v>
      </c>
      <c r="F101" s="114">
        <f>'ESTIMACIÓN DEM. DE ENERGÍA'!F33*$D$20*B101*1000</f>
        <v>3479003.0214751717</v>
      </c>
      <c r="G101" s="114">
        <f>'ESTIMACIÓN DEM. DE ENERGÍA'!E33*$D$29*$D$23*B101*1000</f>
        <v>706971.84854148992</v>
      </c>
      <c r="H101" s="114">
        <f>'ESTIMACIÓN DEM. DE ENERGÍA'!G33*$D$29*$D$26*B101*1000</f>
        <v>935635.15819769935</v>
      </c>
      <c r="I101" s="120">
        <f t="shared" si="3"/>
        <v>6521310.4999052985</v>
      </c>
    </row>
    <row r="102" spans="1:9">
      <c r="A102" s="424">
        <v>2046</v>
      </c>
      <c r="B102" s="311">
        <v>1</v>
      </c>
      <c r="C102" s="432">
        <f t="shared" si="2"/>
        <v>19133.400000000001</v>
      </c>
      <c r="D102" s="432">
        <f>INGRESOS!$D$9*'ESTIMACIÓN DEM. DE POT MAXIMA'!D36*12*INGRESOS!B102*1000</f>
        <v>759881.93045638665</v>
      </c>
      <c r="E102" s="432">
        <f>INGRESOS!$D$12*'ESTIMACIÓN DEM. DE POT MAXIMA'!E36*12*INGRESOS!B102*1000</f>
        <v>675907.82410218881</v>
      </c>
      <c r="F102" s="114">
        <f>'ESTIMACIÓN DEM. DE ENERGÍA'!F34*$D$20*B102*1000</f>
        <v>3618163.1423341786</v>
      </c>
      <c r="G102" s="114">
        <f>'ESTIMACIÓN DEM. DE ENERGÍA'!E34*$D$29*$D$23*B102*1000</f>
        <v>735250.7224831495</v>
      </c>
      <c r="H102" s="114">
        <f>'ESTIMACIÓN DEM. DE ENERGÍA'!G34*$D$29*$D$26*B102*1000</f>
        <v>973060.56452560727</v>
      </c>
      <c r="I102" s="120">
        <f t="shared" si="3"/>
        <v>6781397.5839015106</v>
      </c>
    </row>
    <row r="103" spans="1:9">
      <c r="A103" s="424">
        <v>2047</v>
      </c>
      <c r="B103" s="311">
        <v>1</v>
      </c>
      <c r="C103" s="432">
        <f t="shared" si="2"/>
        <v>19133.400000000001</v>
      </c>
      <c r="D103" s="432">
        <f>INGRESOS!$D$9*'ESTIMACIÓN DEM. DE POT MAXIMA'!D37*12*INGRESOS!B103*1000</f>
        <v>790277.20767464198</v>
      </c>
      <c r="E103" s="432">
        <f>INGRESOS!$D$12*'ESTIMACIÓN DEM. DE POT MAXIMA'!E37*12*INGRESOS!B103*1000</f>
        <v>702944.13706627639</v>
      </c>
      <c r="F103" s="114">
        <f>'ESTIMACIÓN DEM. DE ENERGÍA'!F35*$D$20*B103*1000</f>
        <v>3762889.6680275458</v>
      </c>
      <c r="G103" s="114">
        <f>'ESTIMACIÓN DEM. DE ENERGÍA'!E35*$D$29*$D$23*B103*1000</f>
        <v>764660.7513824756</v>
      </c>
      <c r="H103" s="114">
        <f>'ESTIMACIÓN DEM. DE ENERGÍA'!G35*$D$29*$D$26*B103*1000</f>
        <v>1011982.9871066315</v>
      </c>
      <c r="I103" s="120">
        <f t="shared" si="3"/>
        <v>7051888.1512575718</v>
      </c>
    </row>
    <row r="104" spans="1:9">
      <c r="A104" s="101"/>
      <c r="B104" s="116"/>
      <c r="C104" s="118"/>
      <c r="D104" s="118"/>
      <c r="E104" s="118"/>
      <c r="F104" s="119"/>
      <c r="G104" s="119"/>
      <c r="H104" s="119"/>
      <c r="I104" s="274"/>
    </row>
    <row r="106" spans="1:9">
      <c r="A106" s="630" t="s">
        <v>433</v>
      </c>
      <c r="B106" s="630"/>
      <c r="C106" s="630"/>
      <c r="D106" s="630"/>
      <c r="E106" s="630"/>
      <c r="F106" s="630"/>
      <c r="G106" s="630"/>
      <c r="H106" s="630"/>
      <c r="I106" s="630"/>
    </row>
    <row r="107" spans="1:9">
      <c r="A107" s="454" t="s">
        <v>79</v>
      </c>
      <c r="B107" s="462" t="s">
        <v>211</v>
      </c>
      <c r="C107" s="619" t="s">
        <v>80</v>
      </c>
      <c r="D107" s="619"/>
      <c r="E107" s="619"/>
      <c r="F107" s="619" t="s">
        <v>81</v>
      </c>
      <c r="G107" s="619"/>
      <c r="H107" s="619"/>
      <c r="I107" s="631" t="s">
        <v>217</v>
      </c>
    </row>
    <row r="108" spans="1:9" ht="45">
      <c r="A108" s="454"/>
      <c r="B108" s="462"/>
      <c r="C108" s="425" t="s">
        <v>209</v>
      </c>
      <c r="D108" s="425" t="s">
        <v>454</v>
      </c>
      <c r="E108" s="425" t="s">
        <v>453</v>
      </c>
      <c r="F108" s="425" t="s">
        <v>455</v>
      </c>
      <c r="G108" s="425" t="s">
        <v>210</v>
      </c>
      <c r="H108" s="425" t="s">
        <v>456</v>
      </c>
      <c r="I108" s="631"/>
    </row>
    <row r="109" spans="1:9">
      <c r="A109" s="424">
        <v>2017</v>
      </c>
      <c r="B109" s="311">
        <v>1</v>
      </c>
      <c r="C109" s="432">
        <f t="shared" ref="C109:C139" si="4">+$D$5*12*B109</f>
        <v>19133.400000000001</v>
      </c>
      <c r="D109" s="432">
        <f>INGRESOS!$D$9*'ESTIMACIÓN DEM. DE POT MAXIMA'!F7*12*INGRESOS!B109*1000</f>
        <v>243657.21600000001</v>
      </c>
      <c r="E109" s="432">
        <f>INGRESOS!$D$12*'ESTIMACIÓN DEM. DE POT MAXIMA'!G7*12*INGRESOS!B109*1000</f>
        <v>216730.8</v>
      </c>
      <c r="F109" s="114">
        <f>'ESTIMACIÓN DEM. DE ENERGÍA'!I5*$D$20*B109*1000</f>
        <v>1160169.1301772001</v>
      </c>
      <c r="G109" s="114">
        <f>'ESTIMACIÓN DEM. DE ENERGÍA'!H5*$D$29*$D$23*B109*1000</f>
        <v>235759.18431779993</v>
      </c>
      <c r="H109" s="114">
        <f>'ESTIMACIÓN DEM. DE ENERGÍA'!J5*$D$29*$D$26*B109*1000</f>
        <v>312013.24659648014</v>
      </c>
      <c r="I109" s="120">
        <f>SUM(C109:H109)</f>
        <v>2187462.97709148</v>
      </c>
    </row>
    <row r="110" spans="1:9">
      <c r="A110" s="424">
        <v>2018</v>
      </c>
      <c r="B110" s="311">
        <v>1</v>
      </c>
      <c r="C110" s="432">
        <f t="shared" si="4"/>
        <v>19133.400000000001</v>
      </c>
      <c r="D110" s="432">
        <f>INGRESOS!$D$9*'ESTIMACIÓN DEM. DE POT MAXIMA'!F8*12*INGRESOS!B110*1000</f>
        <v>258276.64895999999</v>
      </c>
      <c r="E110" s="432">
        <f>INGRESOS!$D$12*'ESTIMACIÓN DEM. DE POT MAXIMA'!G8*12*INGRESOS!B110*1000</f>
        <v>229734.64799999999</v>
      </c>
      <c r="F110" s="114">
        <f>'ESTIMACIÓN DEM. DE ENERGÍA'!I6*$D$20*B110*1000</f>
        <v>1229779.277987832</v>
      </c>
      <c r="G110" s="114">
        <f>'ESTIMACIÓN DEM. DE ENERGÍA'!H6*$D$29*$D$23*B110*1000</f>
        <v>249904.73537686787</v>
      </c>
      <c r="H110" s="114">
        <f>'ESTIMACIÓN DEM. DE ENERGÍA'!J6*$D$29*$D$26*B110*1000</f>
        <v>330734.0413922689</v>
      </c>
      <c r="I110" s="120">
        <f>SUM(C110:H110)</f>
        <v>2317562.7517169691</v>
      </c>
    </row>
    <row r="111" spans="1:9">
      <c r="A111" s="424">
        <v>2019</v>
      </c>
      <c r="B111" s="311">
        <v>1</v>
      </c>
      <c r="C111" s="432">
        <f t="shared" si="4"/>
        <v>19133.400000000001</v>
      </c>
      <c r="D111" s="432">
        <f>INGRESOS!$D$9*'ESTIMACIÓN DEM. DE POT MAXIMA'!F9*12*INGRESOS!B111*1000</f>
        <v>273773.2478976</v>
      </c>
      <c r="E111" s="432">
        <f>INGRESOS!$D$12*'ESTIMACIÓN DEM. DE POT MAXIMA'!G9*12*INGRESOS!B111*1000</f>
        <v>243518.72688</v>
      </c>
      <c r="F111" s="114">
        <f>'ESTIMACIÓN DEM. DE ENERGÍA'!I7*$D$20*B111*1000</f>
        <v>1303566.0346671019</v>
      </c>
      <c r="G111" s="114">
        <f>'ESTIMACIÓN DEM. DE ENERGÍA'!H7*$D$29*$D$23*B111*1000</f>
        <v>264899.01949948003</v>
      </c>
      <c r="H111" s="114">
        <f>'ESTIMACIÓN DEM. DE ENERGÍA'!J7*$D$29*$D$26*B111*1000</f>
        <v>350578.08387580508</v>
      </c>
      <c r="I111" s="120">
        <f t="shared" ref="I111:I139" si="5">SUM(C111:H111)</f>
        <v>2455468.5128199868</v>
      </c>
    </row>
    <row r="112" spans="1:9">
      <c r="A112" s="424">
        <v>2020</v>
      </c>
      <c r="B112" s="311">
        <v>1</v>
      </c>
      <c r="C112" s="432">
        <f t="shared" si="4"/>
        <v>19133.400000000001</v>
      </c>
      <c r="D112" s="432">
        <f>INGRESOS!$D$9*'ESTIMACIÓN DEM. DE POT MAXIMA'!F10*12*INGRESOS!B112*1000</f>
        <v>290199.64277145604</v>
      </c>
      <c r="E112" s="432">
        <f>INGRESOS!$D$12*'ESTIMACIÓN DEM. DE POT MAXIMA'!G10*12*INGRESOS!B112*1000</f>
        <v>258129.8504928</v>
      </c>
      <c r="F112" s="114">
        <f>'ESTIMACIÓN DEM. DE ENERGÍA'!I8*$D$20*B112*1000</f>
        <v>1381779.996747128</v>
      </c>
      <c r="G112" s="114">
        <f>'ESTIMACIÓN DEM. DE ENERGÍA'!H8*$D$29*$D$23*B112*1000</f>
        <v>280792.96066944877</v>
      </c>
      <c r="H112" s="114">
        <f>'ESTIMACIÓN DEM. DE ENERGÍA'!J8*$D$29*$D$26*B112*1000</f>
        <v>371612.76890835335</v>
      </c>
      <c r="I112" s="120">
        <f t="shared" si="5"/>
        <v>2601648.6195891863</v>
      </c>
    </row>
    <row r="113" spans="1:9">
      <c r="A113" s="424">
        <v>2021</v>
      </c>
      <c r="B113" s="311">
        <v>1</v>
      </c>
      <c r="C113" s="432">
        <f t="shared" si="4"/>
        <v>19133.400000000001</v>
      </c>
      <c r="D113" s="432">
        <f>INGRESOS!$D$9*'ESTIMACIÓN DEM. DE POT MAXIMA'!F11*12*INGRESOS!B113*1000</f>
        <v>307611.62133774336</v>
      </c>
      <c r="E113" s="432">
        <f>INGRESOS!$D$12*'ESTIMACIÓN DEM. DE POT MAXIMA'!G11*12*INGRESOS!B113*1000</f>
        <v>273617.64152236801</v>
      </c>
      <c r="F113" s="114">
        <f>'ESTIMACIÓN DEM. DE ENERGÍA'!I9*$D$20*B113*1000</f>
        <v>1464686.7965519556</v>
      </c>
      <c r="G113" s="114">
        <f>'ESTIMACIÓN DEM. DE ENERGÍA'!H9*$D$29*$D$23*B113*1000</f>
        <v>297640.53830961575</v>
      </c>
      <c r="H113" s="114">
        <f>'ESTIMACIÓN DEM. DE ENERGÍA'!J9*$D$29*$D$26*B113*1000</f>
        <v>393909.53504285455</v>
      </c>
      <c r="I113" s="120">
        <f t="shared" si="5"/>
        <v>2756599.5327645373</v>
      </c>
    </row>
    <row r="114" spans="1:9">
      <c r="A114" s="424">
        <v>2022</v>
      </c>
      <c r="B114" s="311">
        <v>1</v>
      </c>
      <c r="C114" s="432">
        <f t="shared" si="4"/>
        <v>19133.400000000001</v>
      </c>
      <c r="D114" s="432">
        <f>INGRESOS!$D$9*'ESTIMACIÓN DEM. DE POT MAXIMA'!F12*12*INGRESOS!B114*1000</f>
        <v>326068.31861800794</v>
      </c>
      <c r="E114" s="432">
        <f>INGRESOS!$D$12*'ESTIMACIÓN DEM. DE POT MAXIMA'!G12*12*INGRESOS!B114*1000</f>
        <v>290034.70001371001</v>
      </c>
      <c r="F114" s="114">
        <f>'ESTIMACIÓN DEM. DE ENERGÍA'!I10*$D$20*B114*1000</f>
        <v>1552568.0043450729</v>
      </c>
      <c r="G114" s="114">
        <f>'ESTIMACIÓN DEM. DE ENERGÍA'!H10*$D$29*$D$23*B114*1000</f>
        <v>315498.97060819267</v>
      </c>
      <c r="H114" s="114">
        <f>'ESTIMACIÓN DEM. DE ENERGÍA'!J10*$D$29*$D$26*B114*1000</f>
        <v>417544.10714542581</v>
      </c>
      <c r="I114" s="120">
        <f t="shared" si="5"/>
        <v>2920847.5007304093</v>
      </c>
    </row>
    <row r="115" spans="1:9">
      <c r="A115" s="424">
        <v>2023</v>
      </c>
      <c r="B115" s="311">
        <v>1</v>
      </c>
      <c r="C115" s="432">
        <f t="shared" si="4"/>
        <v>19133.400000000001</v>
      </c>
      <c r="D115" s="432">
        <f>INGRESOS!$D$9*'ESTIMACIÓN DEM. DE POT MAXIMA'!F13*12*INGRESOS!B115*1000</f>
        <v>345632.41773508844</v>
      </c>
      <c r="E115" s="432">
        <f>INGRESOS!$D$12*'ESTIMACIÓN DEM. DE POT MAXIMA'!G13*12*INGRESOS!B115*1000</f>
        <v>307436.78201453266</v>
      </c>
      <c r="F115" s="114">
        <f>'ESTIMACIÓN DEM. DE ENERGÍA'!I11*$D$20*B115*1000</f>
        <v>1645722.0846057774</v>
      </c>
      <c r="G115" s="114">
        <f>'ESTIMACIÓN DEM. DE ENERGÍA'!H11*$D$29*$D$23*B115*1000</f>
        <v>334428.90884468419</v>
      </c>
      <c r="H115" s="114">
        <f>'ESTIMACIÓN DEM. DE ENERGÍA'!J11*$D$29*$D$26*B115*1000</f>
        <v>442596.75357415137</v>
      </c>
      <c r="I115" s="120">
        <f t="shared" si="5"/>
        <v>3094950.3467742344</v>
      </c>
    </row>
    <row r="116" spans="1:9">
      <c r="A116" s="424">
        <v>2024</v>
      </c>
      <c r="B116" s="311">
        <v>1</v>
      </c>
      <c r="C116" s="432">
        <f t="shared" si="4"/>
        <v>19133.400000000001</v>
      </c>
      <c r="D116" s="432">
        <f>INGRESOS!$D$9*'ESTIMACIÓN DEM. DE POT MAXIMA'!F14*12*INGRESOS!B116*1000</f>
        <v>366370.36279919377</v>
      </c>
      <c r="E116" s="432">
        <f>INGRESOS!$D$12*'ESTIMACIÓN DEM. DE POT MAXIMA'!G14*12*INGRESOS!B116*1000</f>
        <v>325882.98893540457</v>
      </c>
      <c r="F116" s="114">
        <f>'ESTIMACIÓN DEM. DE ENERGÍA'!I12*$D$20*B116*1000</f>
        <v>1744465.4096821239</v>
      </c>
      <c r="G116" s="114">
        <f>'ESTIMACIÓN DEM. DE ENERGÍA'!H12*$D$29*$D$23*B116*1000</f>
        <v>354494.64337536524</v>
      </c>
      <c r="H116" s="114">
        <f>'ESTIMACIÓN DEM. DE ENERGÍA'!J12*$D$29*$D$26*B116*1000</f>
        <v>469152.55878860049</v>
      </c>
      <c r="I116" s="120">
        <f t="shared" si="5"/>
        <v>3279499.3635806879</v>
      </c>
    </row>
    <row r="117" spans="1:9">
      <c r="A117" s="424">
        <v>2025</v>
      </c>
      <c r="B117" s="311">
        <v>1</v>
      </c>
      <c r="C117" s="432">
        <f t="shared" si="4"/>
        <v>19133.400000000001</v>
      </c>
      <c r="D117" s="432">
        <f>INGRESOS!$D$9*'ESTIMACIÓN DEM. DE POT MAXIMA'!F15*12*INGRESOS!B117*1000</f>
        <v>388352.58456714533</v>
      </c>
      <c r="E117" s="432">
        <f>INGRESOS!$D$12*'ESTIMACIÓN DEM. DE POT MAXIMA'!G15*12*INGRESOS!B117*1000</f>
        <v>345435.96827152884</v>
      </c>
      <c r="F117" s="114">
        <f>'ESTIMACIÓN DEM. DE ENERGÍA'!I13*$D$20*B117*1000</f>
        <v>1849133.3342630512</v>
      </c>
      <c r="G117" s="114">
        <f>'ESTIMACIÓN DEM. DE ENERGÍA'!H13*$D$29*$D$23*B117*1000</f>
        <v>375764.32197788719</v>
      </c>
      <c r="H117" s="114">
        <f>'ESTIMACIÓN DEM. DE ENERGÍA'!J13*$D$29*$D$26*B117*1000</f>
        <v>497301.71231591649</v>
      </c>
      <c r="I117" s="120">
        <f t="shared" si="5"/>
        <v>3475121.321395529</v>
      </c>
    </row>
    <row r="118" spans="1:9">
      <c r="A118" s="424">
        <v>2026</v>
      </c>
      <c r="B118" s="311">
        <v>1</v>
      </c>
      <c r="C118" s="432">
        <f t="shared" si="4"/>
        <v>19133.400000000001</v>
      </c>
      <c r="D118" s="432">
        <f>INGRESOS!$D$9*'ESTIMACIÓN DEM. DE POT MAXIMA'!F16*12*INGRESOS!B118*1000</f>
        <v>411653.73964117409</v>
      </c>
      <c r="E118" s="432">
        <f>INGRESOS!$D$12*'ESTIMACIÓN DEM. DE POT MAXIMA'!G16*12*INGRESOS!B118*1000</f>
        <v>366162.12636782066</v>
      </c>
      <c r="F118" s="114">
        <f>'ESTIMACIÓN DEM. DE ENERGÍA'!I14*$D$20*B118*1000</f>
        <v>1960081.3343188344</v>
      </c>
      <c r="G118" s="114">
        <f>'ESTIMACIÓN DEM. DE ENERGÍA'!H14*$D$29*$D$23*B118*1000</f>
        <v>398310.18129656033</v>
      </c>
      <c r="H118" s="114">
        <f>'ESTIMACIÓN DEM. DE ENERGÍA'!J14*$D$29*$D$26*B118*1000</f>
        <v>527139.81505487161</v>
      </c>
      <c r="I118" s="120">
        <f t="shared" si="5"/>
        <v>3682480.596679261</v>
      </c>
    </row>
    <row r="119" spans="1:9">
      <c r="A119" s="424">
        <v>2027</v>
      </c>
      <c r="B119" s="311">
        <v>1</v>
      </c>
      <c r="C119" s="432">
        <f t="shared" si="4"/>
        <v>19133.400000000001</v>
      </c>
      <c r="D119" s="432">
        <f>INGRESOS!$D$9*'ESTIMACIÓN DEM. DE POT MAXIMA'!F17*12*INGRESOS!B119*1000</f>
        <v>436352.96401964454</v>
      </c>
      <c r="E119" s="432">
        <f>INGRESOS!$D$12*'ESTIMACIÓN DEM. DE POT MAXIMA'!G17*12*INGRESOS!B119*1000</f>
        <v>388131.85394988989</v>
      </c>
      <c r="F119" s="114">
        <f>'ESTIMACIÓN DEM. DE ENERGÍA'!I15*$D$20*B119*1000</f>
        <v>2077686.2143779639</v>
      </c>
      <c r="G119" s="114">
        <f>'ESTIMACIÓN DEM. DE ENERGÍA'!H15*$D$29*$D$23*B119*1000</f>
        <v>422208.79217435402</v>
      </c>
      <c r="H119" s="114">
        <f>'ESTIMACIÓN DEM. DE ENERGÍA'!J15*$D$29*$D$26*B119*1000</f>
        <v>558768.20395816385</v>
      </c>
      <c r="I119" s="120">
        <f t="shared" si="5"/>
        <v>3902281.4284800165</v>
      </c>
    </row>
    <row r="120" spans="1:9">
      <c r="A120" s="424">
        <v>2028</v>
      </c>
      <c r="B120" s="311">
        <v>1</v>
      </c>
      <c r="C120" s="432">
        <f t="shared" si="4"/>
        <v>19133.400000000001</v>
      </c>
      <c r="D120" s="432">
        <f>INGRESOS!$D$9*'ESTIMACIÓN DEM. DE POT MAXIMA'!F18*12*INGRESOS!B120*1000</f>
        <v>462534.14186082326</v>
      </c>
      <c r="E120" s="432">
        <f>INGRESOS!$D$12*'ESTIMACIÓN DEM. DE POT MAXIMA'!G18*12*INGRESOS!B120*1000</f>
        <v>411419.76518688316</v>
      </c>
      <c r="F120" s="114">
        <f>'ESTIMACIÓN DEM. DE ENERGÍA'!I16*$D$20*B120*1000</f>
        <v>2202347.3872406422</v>
      </c>
      <c r="G120" s="114">
        <f>'ESTIMACIÓN DEM. DE ENERGÍA'!H16*$D$29*$D$23*B120*1000</f>
        <v>447541.31970481528</v>
      </c>
      <c r="H120" s="114">
        <f>'ESTIMACIÓN DEM. DE ENERGÍA'!J16*$D$29*$D$26*B120*1000</f>
        <v>592294.29619565385</v>
      </c>
      <c r="I120" s="120">
        <f t="shared" si="5"/>
        <v>4135270.3101888178</v>
      </c>
    </row>
    <row r="121" spans="1:9">
      <c r="A121" s="424">
        <v>2029</v>
      </c>
      <c r="B121" s="311">
        <v>1</v>
      </c>
      <c r="C121" s="432">
        <f t="shared" si="4"/>
        <v>19133.400000000001</v>
      </c>
      <c r="D121" s="432">
        <f>INGRESOS!$D$9*'ESTIMACIÓN DEM. DE POT MAXIMA'!F19*12*INGRESOS!B121*1000</f>
        <v>490286.19037247263</v>
      </c>
      <c r="E121" s="432">
        <f>INGRESOS!$D$12*'ESTIMACIÓN DEM. DE POT MAXIMA'!G19*12*INGRESOS!B121*1000</f>
        <v>436104.95109809615</v>
      </c>
      <c r="F121" s="114">
        <f>'ESTIMACIÓN DEM. DE ENERGÍA'!I17*$D$20*B121*1000</f>
        <v>2334488.2304750807</v>
      </c>
      <c r="G121" s="114">
        <f>'ESTIMACIÓN DEM. DE ENERGÍA'!H17*$D$29*$D$23*B121*1000</f>
        <v>474393.79888710415</v>
      </c>
      <c r="H121" s="114">
        <f>'ESTIMACIÓN DEM. DE ENERGÍA'!J17*$D$29*$D$26*B121*1000</f>
        <v>627831.95396739291</v>
      </c>
      <c r="I121" s="120">
        <f t="shared" si="5"/>
        <v>4382238.5248001469</v>
      </c>
    </row>
    <row r="122" spans="1:9">
      <c r="A122" s="424">
        <v>2030</v>
      </c>
      <c r="B122" s="311">
        <v>1</v>
      </c>
      <c r="C122" s="432">
        <f t="shared" si="4"/>
        <v>19133.400000000001</v>
      </c>
      <c r="D122" s="432">
        <f>INGRESOS!$D$9*'ESTIMACIÓN DEM. DE POT MAXIMA'!F20*12*INGRESOS!B122*1000</f>
        <v>519703.36179482104</v>
      </c>
      <c r="E122" s="432">
        <f>INGRESOS!$D$12*'ESTIMACIÓN DEM. DE POT MAXIMA'!G20*12*INGRESOS!B122*1000</f>
        <v>462271.24816398189</v>
      </c>
      <c r="F122" s="114">
        <f>'ESTIMACIÓN DEM. DE ENERGÍA'!I18*$D$20*B122*1000</f>
        <v>2474557.5243035853</v>
      </c>
      <c r="G122" s="114">
        <f>'ESTIMACIÓN DEM. DE ENERGÍA'!H18*$D$29*$D$23*B122*1000</f>
        <v>502857.42682033044</v>
      </c>
      <c r="H122" s="114">
        <f>'ESTIMACIÓN DEM. DE ENERGÍA'!J18*$D$29*$D$26*B122*1000</f>
        <v>665501.87120543653</v>
      </c>
      <c r="I122" s="120">
        <f t="shared" si="5"/>
        <v>4644024.8322881553</v>
      </c>
    </row>
    <row r="123" spans="1:9">
      <c r="A123" s="424">
        <v>2031</v>
      </c>
      <c r="B123" s="311">
        <v>1</v>
      </c>
      <c r="C123" s="432">
        <f t="shared" si="4"/>
        <v>19133.400000000001</v>
      </c>
      <c r="D123" s="432">
        <f>INGRESOS!$D$9*'ESTIMACIÓN DEM. DE POT MAXIMA'!F21*12*INGRESOS!B123*1000</f>
        <v>550885.56350251043</v>
      </c>
      <c r="E123" s="432">
        <f>INGRESOS!$D$12*'ESTIMACIÓN DEM. DE POT MAXIMA'!G21*12*INGRESOS!B123*1000</f>
        <v>490007.52305382083</v>
      </c>
      <c r="F123" s="114">
        <f>'ESTIMACIÓN DEM. DE ENERGÍA'!I19*$D$20*B123*1000</f>
        <v>2623030.9757618005</v>
      </c>
      <c r="G123" s="114">
        <f>'ESTIMACIÓN DEM. DE ENERGÍA'!H19*$D$29*$D$23*B123*1000</f>
        <v>533028.87242955028</v>
      </c>
      <c r="H123" s="114">
        <f>'ESTIMACIÓN DEM. DE ENERGÍA'!J19*$D$29*$D$26*B123*1000</f>
        <v>705431.98347776267</v>
      </c>
      <c r="I123" s="120">
        <f t="shared" si="5"/>
        <v>4921518.3182254452</v>
      </c>
    </row>
    <row r="124" spans="1:9">
      <c r="A124" s="424">
        <v>2032</v>
      </c>
      <c r="B124" s="311">
        <v>1</v>
      </c>
      <c r="C124" s="432">
        <f t="shared" si="4"/>
        <v>19133.400000000001</v>
      </c>
      <c r="D124" s="432">
        <f>INGRESOS!$D$9*'ESTIMACIÓN DEM. DE POT MAXIMA'!F22*12*INGRESOS!B124*1000</f>
        <v>583938.69731266098</v>
      </c>
      <c r="E124" s="432">
        <f>INGRESOS!$D$12*'ESTIMACIÓN DEM. DE POT MAXIMA'!G22*12*INGRESOS!B124*1000</f>
        <v>519407.97443705017</v>
      </c>
      <c r="F124" s="114">
        <f>'ESTIMACIÓN DEM. DE ENERGÍA'!I20*$D$20*B124*1000</f>
        <v>2780412.834307509</v>
      </c>
      <c r="G124" s="114">
        <f>'ESTIMACIÓN DEM. DE ENERGÍA'!H20*$D$29*$D$23*B124*1000</f>
        <v>565010.6047753233</v>
      </c>
      <c r="H124" s="114">
        <f>'ESTIMACIÓN DEM. DE ENERGÍA'!J20*$D$29*$D$26*B124*1000</f>
        <v>747757.90248642862</v>
      </c>
      <c r="I124" s="120">
        <f t="shared" si="5"/>
        <v>5215661.4133189721</v>
      </c>
    </row>
    <row r="125" spans="1:9">
      <c r="A125" s="424">
        <v>2033</v>
      </c>
      <c r="B125" s="311">
        <v>1</v>
      </c>
      <c r="C125" s="432">
        <f t="shared" si="4"/>
        <v>19133.400000000001</v>
      </c>
      <c r="D125" s="432">
        <f>INGRESOS!$D$9*'ESTIMACIÓN DEM. DE POT MAXIMA'!F23*12*INGRESOS!B125*1000</f>
        <v>618975.01915142057</v>
      </c>
      <c r="E125" s="432">
        <f>INGRESOS!$D$12*'ESTIMACIÓN DEM. DE POT MAXIMA'!G23*12*INGRESOS!B125*1000</f>
        <v>550572.45290327305</v>
      </c>
      <c r="F125" s="114">
        <f>'ESTIMACIÓN DEM. DE ENERGÍA'!I21*$D$20*B125*1000</f>
        <v>2947237.6043659598</v>
      </c>
      <c r="G125" s="114">
        <f>'ESTIMACIÓN DEM. DE ENERGÍA'!H21*$D$29*$D$23*B125*1000</f>
        <v>598911.24106184265</v>
      </c>
      <c r="H125" s="114">
        <f>'ESTIMACIÓN DEM. DE ENERGÍA'!J21*$D$29*$D$26*B125*1000</f>
        <v>792623.37663561408</v>
      </c>
      <c r="I125" s="120">
        <f t="shared" si="5"/>
        <v>5527453.0941181099</v>
      </c>
    </row>
    <row r="126" spans="1:9">
      <c r="A126" s="424">
        <v>2034</v>
      </c>
      <c r="B126" s="311">
        <v>1</v>
      </c>
      <c r="C126" s="432">
        <f t="shared" si="4"/>
        <v>19133.400000000001</v>
      </c>
      <c r="D126" s="432">
        <f>INGRESOS!$D$9*'ESTIMACIÓN DEM. DE POT MAXIMA'!F24*12*INGRESOS!B126*1000</f>
        <v>656113.52030050592</v>
      </c>
      <c r="E126" s="432">
        <f>INGRESOS!$D$12*'ESTIMACIÓN DEM. DE POT MAXIMA'!G24*12*INGRESOS!B126*1000</f>
        <v>583606.80007746944</v>
      </c>
      <c r="F126" s="114">
        <f>'ESTIMACIÓN DEM. DE ENERGÍA'!I22*$D$20*B126*1000</f>
        <v>3124071.8606279171</v>
      </c>
      <c r="G126" s="114">
        <f>'ESTIMACIÓN DEM. DE ENERGÍA'!H22*$D$29*$D$23*B126*1000</f>
        <v>634845.91552555317</v>
      </c>
      <c r="H126" s="114">
        <f>'ESTIMACIÓN DEM. DE ENERGÍA'!J22*$D$29*$D$26*B126*1000</f>
        <v>840180.77923375112</v>
      </c>
      <c r="I126" s="120">
        <f t="shared" si="5"/>
        <v>5857952.2757651964</v>
      </c>
    </row>
    <row r="127" spans="1:9">
      <c r="A127" s="424">
        <v>2035</v>
      </c>
      <c r="B127" s="311">
        <v>1</v>
      </c>
      <c r="C127" s="432">
        <f t="shared" si="4"/>
        <v>19133.400000000001</v>
      </c>
      <c r="D127" s="432">
        <f>INGRESOS!$D$9*'ESTIMACIÓN DEM. DE POT MAXIMA'!F25*12*INGRESOS!B127*1000</f>
        <v>695480.33151853632</v>
      </c>
      <c r="E127" s="432">
        <f>INGRESOS!$D$12*'ESTIMACIÓN DEM. DE POT MAXIMA'!G25*12*INGRESOS!B127*1000</f>
        <v>618623.20808211772</v>
      </c>
      <c r="F127" s="114">
        <f>'ESTIMACIÓN DEM. DE ENERGÍA'!I23*$D$20*B127*1000</f>
        <v>3311516.172265592</v>
      </c>
      <c r="G127" s="114">
        <f>'ESTIMACIÓN DEM. DE ENERGÍA'!H23*$D$29*$D$23*B127*1000</f>
        <v>672936.67045708641</v>
      </c>
      <c r="H127" s="114">
        <f>'ESTIMACIÓN DEM. DE ENERGÍA'!J23*$D$29*$D$26*B127*1000</f>
        <v>890591.62598777621</v>
      </c>
      <c r="I127" s="120">
        <f t="shared" si="5"/>
        <v>6208281.4083111091</v>
      </c>
    </row>
    <row r="128" spans="1:9">
      <c r="A128" s="424">
        <v>2036</v>
      </c>
      <c r="B128" s="311">
        <v>1</v>
      </c>
      <c r="C128" s="432">
        <f t="shared" si="4"/>
        <v>19133.400000000001</v>
      </c>
      <c r="D128" s="432">
        <f>INGRESOS!$D$9*'ESTIMACIÓN DEM. DE POT MAXIMA'!F26*12*INGRESOS!B128*1000</f>
        <v>737209.15140964848</v>
      </c>
      <c r="E128" s="432">
        <f>INGRESOS!$D$12*'ESTIMACIÓN DEM. DE POT MAXIMA'!G26*12*INGRESOS!B128*1000</f>
        <v>655740.60056704469</v>
      </c>
      <c r="F128" s="114">
        <f>'ESTIMACIÓN DEM. DE ENERGÍA'!I24*$D$20*B128*1000</f>
        <v>3510207.1426015277</v>
      </c>
      <c r="G128" s="114">
        <f>'ESTIMACIÓN DEM. DE ENERGÍA'!H24*$D$29*$D$23*B128*1000</f>
        <v>713312.87068451173</v>
      </c>
      <c r="H128" s="114">
        <f>'ESTIMACIÓN DEM. DE ENERGÍA'!J24*$D$29*$D$26*B128*1000</f>
        <v>944027.12354704284</v>
      </c>
      <c r="I128" s="120">
        <f t="shared" si="5"/>
        <v>6579630.2888097754</v>
      </c>
    </row>
    <row r="129" spans="1:9">
      <c r="A129" s="424">
        <v>2037</v>
      </c>
      <c r="B129" s="311">
        <v>1</v>
      </c>
      <c r="C129" s="432">
        <f t="shared" si="4"/>
        <v>19133.400000000001</v>
      </c>
      <c r="D129" s="432">
        <f>INGRESOS!$D$9*'ESTIMACIÓN DEM. DE POT MAXIMA'!F27*12*INGRESOS!B129*1000</f>
        <v>781441.70049422723</v>
      </c>
      <c r="E129" s="432">
        <f>INGRESOS!$D$12*'ESTIMACIÓN DEM. DE POT MAXIMA'!G27*12*INGRESOS!B129*1000</f>
        <v>695085.0366010674</v>
      </c>
      <c r="F129" s="114">
        <f>'ESTIMACIÓN DEM. DE ENERGÍA'!I25*$D$20*B129*1000</f>
        <v>3720819.5711576189</v>
      </c>
      <c r="G129" s="114">
        <f>'ESTIMACIÓN DEM. DE ENERGÍA'!H25*$D$29*$D$23*B129*1000</f>
        <v>756111.64292558236</v>
      </c>
      <c r="H129" s="114">
        <f>'ESTIMACIÓN DEM. DE ENERGÍA'!J25*$D$29*$D$26*B129*1000</f>
        <v>1000668.7509598654</v>
      </c>
      <c r="I129" s="120">
        <f>SUM(C129:H129)</f>
        <v>6973260.102138361</v>
      </c>
    </row>
    <row r="130" spans="1:9">
      <c r="A130" s="424">
        <v>2038</v>
      </c>
      <c r="B130" s="311">
        <v>1</v>
      </c>
      <c r="C130" s="432">
        <f t="shared" si="4"/>
        <v>19133.400000000001</v>
      </c>
      <c r="D130" s="432">
        <f>INGRESOS!$D$9*'ESTIMACIÓN DEM. DE POT MAXIMA'!F28*12*INGRESOS!B130*1000</f>
        <v>828328.20252388087</v>
      </c>
      <c r="E130" s="432">
        <f>INGRESOS!$D$12*'ESTIMACIÓN DEM. DE POT MAXIMA'!G28*12*INGRESOS!B130*1000</f>
        <v>736790.13879713137</v>
      </c>
      <c r="F130" s="114">
        <f>'ESTIMACIÓN DEM. DE ENERGÍA'!I26*$D$20*B130*1000</f>
        <v>3944068.7454270762</v>
      </c>
      <c r="G130" s="114">
        <f>'ESTIMACIÓN DEM. DE ENERGÍA'!H26*$D$29*$D$23*B130*1000</f>
        <v>801478.34150111722</v>
      </c>
      <c r="H130" s="114">
        <f>'ESTIMACIÓN DEM. DE ENERGÍA'!J26*$D$29*$D$26*B130*1000</f>
        <v>1060708.8760174571</v>
      </c>
      <c r="I130" s="120">
        <f t="shared" si="5"/>
        <v>7390507.7042666618</v>
      </c>
    </row>
    <row r="131" spans="1:9">
      <c r="A131" s="424">
        <v>2039</v>
      </c>
      <c r="B131" s="311">
        <v>1</v>
      </c>
      <c r="C131" s="432">
        <f t="shared" si="4"/>
        <v>19133.400000000001</v>
      </c>
      <c r="D131" s="432">
        <f>INGRESOS!$D$9*'ESTIMACIÓN DEM. DE POT MAXIMA'!F29*12*INGRESOS!B131*1000</f>
        <v>878027.89467531373</v>
      </c>
      <c r="E131" s="432">
        <f>INGRESOS!$D$12*'ESTIMACIÓN DEM. DE POT MAXIMA'!G29*12*INGRESOS!B131*1000</f>
        <v>780997.5471249593</v>
      </c>
      <c r="F131" s="114">
        <f>'ESTIMACIÓN DEM. DE ENERGÍA'!I27*$D$20*B131*1000</f>
        <v>4180712.8701527007</v>
      </c>
      <c r="G131" s="114">
        <f>'ESTIMACIÓN DEM. DE ENERGÍA'!H27*$D$29*$D$23*B131*1000</f>
        <v>849567.04199118447</v>
      </c>
      <c r="H131" s="114">
        <f>'ESTIMACIÓN DEM. DE ENERGÍA'!J27*$D$29*$D$26*B131*1000</f>
        <v>1124351.4085785048</v>
      </c>
      <c r="I131" s="120">
        <f t="shared" si="5"/>
        <v>7832790.1625226624</v>
      </c>
    </row>
    <row r="132" spans="1:9">
      <c r="A132" s="424">
        <v>2040</v>
      </c>
      <c r="B132" s="311">
        <v>1</v>
      </c>
      <c r="C132" s="432">
        <f t="shared" si="4"/>
        <v>19133.400000000001</v>
      </c>
      <c r="D132" s="432">
        <f>INGRESOS!$D$9*'ESTIMACIÓN DEM. DE POT MAXIMA'!F30*12*INGRESOS!B132*1000</f>
        <v>930709.5683558326</v>
      </c>
      <c r="E132" s="432">
        <f>INGRESOS!$D$12*'ESTIMACIÓN DEM. DE POT MAXIMA'!G30*12*INGRESOS!B132*1000</f>
        <v>827857.39995245694</v>
      </c>
      <c r="F132" s="114">
        <f>'ESTIMACIÓN DEM. DE ENERGÍA'!I28*$D$20*B132*1000</f>
        <v>4431555.6423618626</v>
      </c>
      <c r="G132" s="114">
        <f>'ESTIMACIÓN DEM. DE ENERGÍA'!H28*$D$29*$D$23*B132*1000</f>
        <v>900541.06451065536</v>
      </c>
      <c r="H132" s="114">
        <f>'ESTIMACIÓN DEM. DE ENERGÍA'!J28*$D$29*$D$26*B132*1000</f>
        <v>1191812.4930932152</v>
      </c>
      <c r="I132" s="120">
        <f t="shared" si="5"/>
        <v>8301609.5682740221</v>
      </c>
    </row>
    <row r="133" spans="1:9">
      <c r="A133" s="424">
        <v>2041</v>
      </c>
      <c r="B133" s="311">
        <v>1</v>
      </c>
      <c r="C133" s="432">
        <f t="shared" si="4"/>
        <v>19133.400000000001</v>
      </c>
      <c r="D133" s="432">
        <f>INGRESOS!$D$9*'ESTIMACIÓN DEM. DE POT MAXIMA'!F31*12*INGRESOS!B133*1000</f>
        <v>986552.14245718252</v>
      </c>
      <c r="E133" s="432">
        <f>INGRESOS!$D$12*'ESTIMACIÓN DEM. DE POT MAXIMA'!G31*12*INGRESOS!B133*1000</f>
        <v>877528.8439496042</v>
      </c>
      <c r="F133" s="114">
        <f>'ESTIMACIÓN DEM. DE ENERGÍA'!I29*$D$20*B133*1000</f>
        <v>4697448.9809035752</v>
      </c>
      <c r="G133" s="114">
        <f>'ESTIMACIÓN DEM. DE ENERGÍA'!H29*$D$29*$D$23*B133*1000</f>
        <v>954573.5283812948</v>
      </c>
      <c r="H133" s="114">
        <f>'ESTIMACIÓN DEM. DE ENERGÍA'!J29*$D$29*$D$26*B133*1000</f>
        <v>1263321.2426788083</v>
      </c>
      <c r="I133" s="120">
        <f t="shared" si="5"/>
        <v>8798558.1383704655</v>
      </c>
    </row>
    <row r="134" spans="1:9">
      <c r="A134" s="424">
        <v>2042</v>
      </c>
      <c r="B134" s="311">
        <v>1</v>
      </c>
      <c r="C134" s="432">
        <f t="shared" si="4"/>
        <v>19133.400000000001</v>
      </c>
      <c r="D134" s="432">
        <f>INGRESOS!$D$9*'ESTIMACIÓN DEM. DE POT MAXIMA'!F32*12*INGRESOS!B134*1000</f>
        <v>1045745.2710046134</v>
      </c>
      <c r="E134" s="432">
        <f>INGRESOS!$D$12*'ESTIMACIÓN DEM. DE POT MAXIMA'!G32*12*INGRESOS!B134*1000</f>
        <v>930180.57458658039</v>
      </c>
      <c r="F134" s="114">
        <f>'ESTIMACIÓN DEM. DE ENERGÍA'!I30*$D$20*B134*1000</f>
        <v>4979295.919757789</v>
      </c>
      <c r="G134" s="114">
        <f>'ESTIMACIÓN DEM. DE ENERGÍA'!H30*$D$29*$D$23*B134*1000</f>
        <v>1011847.9400841725</v>
      </c>
      <c r="H134" s="114">
        <f>'ESTIMACIÓN DEM. DE ENERGÍA'!J30*$D$29*$D$26*B134*1000</f>
        <v>1339120.5172395364</v>
      </c>
      <c r="I134" s="120">
        <f t="shared" si="5"/>
        <v>9325323.6226726919</v>
      </c>
    </row>
    <row r="135" spans="1:9">
      <c r="A135" s="424">
        <v>2043</v>
      </c>
      <c r="B135" s="311">
        <v>1</v>
      </c>
      <c r="C135" s="432">
        <f t="shared" si="4"/>
        <v>19133.400000000001</v>
      </c>
      <c r="D135" s="432">
        <f>INGRESOS!$D$9*'ESTIMACIÓN DEM. DE POT MAXIMA'!F33*12*INGRESOS!B135*1000</f>
        <v>1108489.9872648902</v>
      </c>
      <c r="E135" s="432">
        <f>INGRESOS!$D$12*'ESTIMACIÓN DEM. DE POT MAXIMA'!G33*12*INGRESOS!B135*1000</f>
        <v>985991.40906177508</v>
      </c>
      <c r="F135" s="114">
        <f>'ESTIMACIÓN DEM. DE ENERGÍA'!I31*$D$20*B135*1000</f>
        <v>5278053.6749432562</v>
      </c>
      <c r="G135" s="114">
        <f>'ESTIMACIÓN DEM. DE ENERGÍA'!H31*$D$29*$D$23*B135*1000</f>
        <v>1072558.8164892229</v>
      </c>
      <c r="H135" s="114">
        <f>'ESTIMACIÓN DEM. DE ENERGÍA'!J31*$D$29*$D$26*B135*1000</f>
        <v>1419467.7482739086</v>
      </c>
      <c r="I135" s="120">
        <f t="shared" si="5"/>
        <v>9883695.036033053</v>
      </c>
    </row>
    <row r="136" spans="1:9">
      <c r="A136" s="424">
        <v>2044</v>
      </c>
      <c r="B136" s="311">
        <v>1</v>
      </c>
      <c r="C136" s="432">
        <f t="shared" si="4"/>
        <v>19133.400000000001</v>
      </c>
      <c r="D136" s="432">
        <f>INGRESOS!$D$9*'ESTIMACIÓN DEM. DE POT MAXIMA'!F34*12*INGRESOS!B136*1000</f>
        <v>1174999.386500784</v>
      </c>
      <c r="E136" s="432">
        <f>INGRESOS!$D$12*'ESTIMACIÓN DEM. DE POT MAXIMA'!G34*12*INGRESOS!B136*1000</f>
        <v>1045150.8936054816</v>
      </c>
      <c r="F136" s="114">
        <f>'ESTIMACIÓN DEM. DE ENERGÍA'!I32*$D$20*B136*1000</f>
        <v>5594736.895439852</v>
      </c>
      <c r="G136" s="114">
        <f>'ESTIMACIÓN DEM. DE ENERGÍA'!H32*$D$29*$D$23*B136*1000</f>
        <v>1136912.3454785764</v>
      </c>
      <c r="H136" s="114">
        <f>'ESTIMACIÓN DEM. DE ENERGÍA'!J32*$D$29*$D$26*B136*1000</f>
        <v>1504635.8131703432</v>
      </c>
      <c r="I136" s="120">
        <f t="shared" si="5"/>
        <v>10475568.734195037</v>
      </c>
    </row>
    <row r="137" spans="1:9">
      <c r="A137" s="424">
        <v>2045</v>
      </c>
      <c r="B137" s="311">
        <v>1</v>
      </c>
      <c r="C137" s="432">
        <f t="shared" si="4"/>
        <v>19133.400000000001</v>
      </c>
      <c r="D137" s="432">
        <f>INGRESOS!$D$9*'ESTIMACIÓN DEM. DE POT MAXIMA'!F35*12*INGRESOS!B137*1000</f>
        <v>1245499.349690831</v>
      </c>
      <c r="E137" s="432">
        <f>INGRESOS!$D$12*'ESTIMACIÓN DEM. DE POT MAXIMA'!G35*12*INGRESOS!B137*1000</f>
        <v>1107859.9472218107</v>
      </c>
      <c r="F137" s="114">
        <f>'ESTIMACIÓN DEM. DE ENERGÍA'!I33*$D$20*B137*1000</f>
        <v>5930421.1091662431</v>
      </c>
      <c r="G137" s="114">
        <f>'ESTIMACIÓN DEM. DE ENERGÍA'!H33*$D$29*$D$23*B137*1000</f>
        <v>1205127.0862072909</v>
      </c>
      <c r="H137" s="114">
        <f>'ESTIMACIÓN DEM. DE ENERGÍA'!J33*$D$29*$D$26*B137*1000</f>
        <v>1594913.9619605639</v>
      </c>
      <c r="I137" s="120">
        <f t="shared" si="5"/>
        <v>11102954.854246739</v>
      </c>
    </row>
    <row r="138" spans="1:9">
      <c r="A138" s="424">
        <v>2046</v>
      </c>
      <c r="B138" s="311">
        <v>1</v>
      </c>
      <c r="C138" s="432">
        <f t="shared" si="4"/>
        <v>19133.400000000001</v>
      </c>
      <c r="D138" s="432">
        <f>INGRESOS!$D$9*'ESTIMACIÓN DEM. DE POT MAXIMA'!F36*12*INGRESOS!B138*1000</f>
        <v>1320229.3106722806</v>
      </c>
      <c r="E138" s="432">
        <f>INGRESOS!$D$12*'ESTIMACIÓN DEM. DE POT MAXIMA'!G36*12*INGRESOS!B138*1000</f>
        <v>1174331.5440551192</v>
      </c>
      <c r="F138" s="114">
        <f>'ESTIMACIÓN DEM. DE ENERGÍA'!I34*$D$20*B138*1000</f>
        <v>6286246.3757162169</v>
      </c>
      <c r="G138" s="114">
        <f>'ESTIMACIÓN DEM. DE ENERGÍA'!H34*$D$29*$D$23*B138*1000</f>
        <v>1277434.7113797285</v>
      </c>
      <c r="H138" s="114">
        <f>'ESTIMACIÓN DEM. DE ENERGÍA'!J34*$D$29*$D$26*B138*1000</f>
        <v>1690608.7996781976</v>
      </c>
      <c r="I138" s="120">
        <f t="shared" si="5"/>
        <v>11767984.141501544</v>
      </c>
    </row>
    <row r="139" spans="1:9">
      <c r="A139" s="424">
        <v>2047</v>
      </c>
      <c r="B139" s="311">
        <v>1</v>
      </c>
      <c r="C139" s="432">
        <f t="shared" si="4"/>
        <v>19133.400000000001</v>
      </c>
      <c r="D139" s="432">
        <f>INGRESOS!$D$9*'ESTIMACIÓN DEM. DE POT MAXIMA'!F37*12*INGRESOS!B139*1000</f>
        <v>1399443.0693126176</v>
      </c>
      <c r="E139" s="432">
        <f>INGRESOS!$D$12*'ESTIMACIÓN DEM. DE POT MAXIMA'!G37*12*INGRESOS!B139*1000</f>
        <v>1244791.4366984263</v>
      </c>
      <c r="F139" s="114">
        <f>'ESTIMACIÓN DEM. DE ENERGÍA'!I35*$D$20*B139*1000</f>
        <v>6663421.1582591897</v>
      </c>
      <c r="G139" s="114">
        <f>'ESTIMACIÓN DEM. DE ENERGÍA'!H35*$D$29*$D$23*B139*1000</f>
        <v>1354080.7940625122</v>
      </c>
      <c r="H139" s="114">
        <f>'ESTIMACIÓN DEM. DE ENERGÍA'!J35*$D$29*$D$26*B139*1000</f>
        <v>1792045.3276588893</v>
      </c>
      <c r="I139" s="120">
        <f t="shared" si="5"/>
        <v>12472915.185991636</v>
      </c>
    </row>
  </sheetData>
  <mergeCells count="22">
    <mergeCell ref="G1:L1"/>
    <mergeCell ref="A2:D2"/>
    <mergeCell ref="A3:D3"/>
    <mergeCell ref="H12:J12"/>
    <mergeCell ref="A34:I34"/>
    <mergeCell ref="A35:A36"/>
    <mergeCell ref="B35:B36"/>
    <mergeCell ref="C35:E35"/>
    <mergeCell ref="F35:H35"/>
    <mergeCell ref="I35:I36"/>
    <mergeCell ref="A70:I70"/>
    <mergeCell ref="A106:I106"/>
    <mergeCell ref="C107:E107"/>
    <mergeCell ref="F107:H107"/>
    <mergeCell ref="I107:I108"/>
    <mergeCell ref="A71:A72"/>
    <mergeCell ref="B71:B72"/>
    <mergeCell ref="C71:E71"/>
    <mergeCell ref="F71:H71"/>
    <mergeCell ref="I71:I72"/>
    <mergeCell ref="A107:A108"/>
    <mergeCell ref="B107:B108"/>
  </mergeCells>
  <pageMargins left="0.55000000000000004" right="0.5699999999999999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I137"/>
  <sheetViews>
    <sheetView topLeftCell="A86" workbookViewId="0">
      <selection activeCell="I30" sqref="I30"/>
    </sheetView>
  </sheetViews>
  <sheetFormatPr baseColWidth="10" defaultRowHeight="15"/>
  <cols>
    <col min="1" max="1" width="18.42578125" customWidth="1"/>
    <col min="2" max="2" width="26.85546875" customWidth="1"/>
    <col min="3" max="3" width="41.28515625" customWidth="1"/>
    <col min="4" max="4" width="16" customWidth="1"/>
    <col min="5" max="5" width="19.42578125" customWidth="1"/>
    <col min="6" max="6" width="16.85546875" customWidth="1"/>
    <col min="7" max="7" width="17.42578125" customWidth="1"/>
    <col min="8" max="8" width="14.5703125" customWidth="1"/>
    <col min="9" max="9" width="33.5703125" customWidth="1"/>
    <col min="10" max="10" width="19.42578125" customWidth="1"/>
    <col min="11" max="11" width="18" customWidth="1"/>
  </cols>
  <sheetData>
    <row r="1" spans="1:9">
      <c r="A1" s="163"/>
      <c r="B1" s="163"/>
      <c r="C1" s="163"/>
      <c r="D1" s="163"/>
      <c r="E1" s="161"/>
      <c r="G1" s="632"/>
      <c r="H1" s="632"/>
      <c r="I1" s="632"/>
    </row>
    <row r="2" spans="1:9">
      <c r="A2" s="633" t="s">
        <v>438</v>
      </c>
      <c r="B2" s="633"/>
      <c r="C2" s="633"/>
      <c r="D2" s="633"/>
      <c r="E2" s="163"/>
      <c r="G2" s="10"/>
      <c r="H2" s="10"/>
      <c r="I2" s="10"/>
    </row>
    <row r="3" spans="1:9">
      <c r="A3" s="619" t="s">
        <v>75</v>
      </c>
      <c r="B3" s="619"/>
      <c r="C3" s="619"/>
      <c r="D3" s="619"/>
      <c r="E3" s="117"/>
      <c r="G3" s="10"/>
      <c r="H3" s="10"/>
      <c r="I3" s="10"/>
    </row>
    <row r="4" spans="1:9">
      <c r="E4" s="9"/>
      <c r="G4" s="10"/>
      <c r="H4" s="10"/>
      <c r="I4" s="10"/>
    </row>
    <row r="5" spans="1:9" ht="15.75">
      <c r="A5" s="10" t="s">
        <v>284</v>
      </c>
      <c r="D5" s="308">
        <v>1594.45</v>
      </c>
      <c r="G5" s="10"/>
      <c r="H5" s="10"/>
      <c r="I5" s="10"/>
    </row>
    <row r="6" spans="1:9">
      <c r="A6" t="s">
        <v>78</v>
      </c>
      <c r="G6" s="10"/>
      <c r="H6" s="10"/>
      <c r="I6" s="10"/>
    </row>
    <row r="7" spans="1:9">
      <c r="A7" s="7" t="s">
        <v>434</v>
      </c>
      <c r="B7" s="7"/>
      <c r="C7" s="7"/>
      <c r="D7" s="309"/>
      <c r="E7" s="14"/>
      <c r="G7" s="10"/>
      <c r="H7" s="10"/>
      <c r="I7" s="10"/>
    </row>
    <row r="8" spans="1:9">
      <c r="E8" s="42"/>
      <c r="G8" s="10"/>
      <c r="H8" s="10"/>
      <c r="I8" s="10"/>
    </row>
    <row r="9" spans="1:9" ht="15.75">
      <c r="A9" t="s">
        <v>449</v>
      </c>
      <c r="D9" s="308">
        <v>11.04</v>
      </c>
      <c r="G9" s="10"/>
      <c r="H9" s="10"/>
      <c r="I9" s="10"/>
    </row>
    <row r="10" spans="1:9">
      <c r="A10" t="s">
        <v>77</v>
      </c>
      <c r="G10" s="10"/>
      <c r="H10" s="10"/>
      <c r="I10" s="10"/>
    </row>
    <row r="11" spans="1:9">
      <c r="G11" s="10"/>
      <c r="H11" s="10"/>
      <c r="I11" s="10"/>
    </row>
    <row r="12" spans="1:9" ht="15.75">
      <c r="A12" t="s">
        <v>450</v>
      </c>
      <c r="D12" s="308">
        <v>8.42</v>
      </c>
      <c r="G12" s="10"/>
      <c r="H12" s="632"/>
      <c r="I12" s="632"/>
    </row>
    <row r="13" spans="1:9">
      <c r="A13" t="s">
        <v>77</v>
      </c>
      <c r="G13" s="10"/>
      <c r="H13" s="278"/>
      <c r="I13" s="278"/>
    </row>
    <row r="14" spans="1:9">
      <c r="G14" s="10"/>
      <c r="H14" s="278"/>
      <c r="I14" s="10"/>
    </row>
    <row r="15" spans="1:9">
      <c r="A15" t="s">
        <v>283</v>
      </c>
      <c r="D15" s="113"/>
      <c r="G15" s="10"/>
      <c r="H15" s="278"/>
      <c r="I15" s="10"/>
    </row>
    <row r="16" spans="1:9">
      <c r="A16" t="s">
        <v>77</v>
      </c>
      <c r="G16" s="10"/>
      <c r="H16" s="278"/>
      <c r="I16" s="10"/>
    </row>
    <row r="17" spans="1:9">
      <c r="F17" s="96"/>
      <c r="G17" s="10"/>
      <c r="H17" s="278"/>
      <c r="I17" s="10"/>
    </row>
    <row r="18" spans="1:9">
      <c r="A18" s="10" t="s">
        <v>76</v>
      </c>
      <c r="G18" s="10"/>
      <c r="H18" s="278"/>
      <c r="I18" s="10"/>
    </row>
    <row r="19" spans="1:9">
      <c r="G19" s="10"/>
      <c r="H19" s="278"/>
      <c r="I19" s="10"/>
    </row>
    <row r="20" spans="1:9" ht="15.75">
      <c r="A20" t="s">
        <v>452</v>
      </c>
      <c r="D20" s="308">
        <v>7.85E-2</v>
      </c>
      <c r="G20" s="10"/>
      <c r="H20" s="278"/>
      <c r="I20" s="10"/>
    </row>
    <row r="21" spans="1:9">
      <c r="A21" t="s">
        <v>214</v>
      </c>
      <c r="G21" s="10"/>
      <c r="H21" s="278"/>
      <c r="I21" s="10"/>
    </row>
    <row r="22" spans="1:9">
      <c r="B22" s="10"/>
      <c r="G22" s="10"/>
      <c r="H22" s="278"/>
      <c r="I22" s="10"/>
    </row>
    <row r="23" spans="1:9" ht="15.75">
      <c r="A23" t="s">
        <v>285</v>
      </c>
      <c r="D23" s="308">
        <v>7.17E-2</v>
      </c>
      <c r="G23" s="10"/>
      <c r="H23" s="278"/>
      <c r="I23" s="10"/>
    </row>
    <row r="24" spans="1:9">
      <c r="A24" t="s">
        <v>215</v>
      </c>
      <c r="G24" s="10"/>
      <c r="H24" s="278"/>
      <c r="I24" s="10"/>
    </row>
    <row r="25" spans="1:9">
      <c r="G25" s="10"/>
      <c r="H25" s="278"/>
      <c r="I25" s="10"/>
    </row>
    <row r="26" spans="1:9" ht="15.75">
      <c r="A26" t="s">
        <v>451</v>
      </c>
      <c r="D26" s="308">
        <v>8.2299999999999998E-2</v>
      </c>
      <c r="G26" s="10"/>
      <c r="H26" s="278"/>
      <c r="I26" s="10"/>
    </row>
    <row r="27" spans="1:9">
      <c r="A27" t="s">
        <v>216</v>
      </c>
      <c r="G27" s="10"/>
      <c r="H27" s="278"/>
      <c r="I27" s="10"/>
    </row>
    <row r="28" spans="1:9">
      <c r="G28" s="10"/>
      <c r="H28" s="278"/>
      <c r="I28" s="10"/>
    </row>
    <row r="29" spans="1:9" ht="15.75">
      <c r="A29" s="96" t="s">
        <v>212</v>
      </c>
      <c r="D29" s="308">
        <v>0.65</v>
      </c>
      <c r="E29" s="96" t="s">
        <v>213</v>
      </c>
    </row>
    <row r="30" spans="1:9">
      <c r="A30" s="96"/>
      <c r="D30" s="40"/>
      <c r="E30" s="96"/>
    </row>
    <row r="32" spans="1:9">
      <c r="A32" s="630" t="s">
        <v>432</v>
      </c>
      <c r="B32" s="630"/>
      <c r="C32" s="630"/>
      <c r="D32" s="630"/>
      <c r="E32" s="630"/>
      <c r="F32" s="630"/>
      <c r="G32" s="630"/>
      <c r="H32" s="630"/>
      <c r="I32" s="630"/>
    </row>
    <row r="33" spans="1:9" ht="15" customHeight="1">
      <c r="A33" s="454" t="s">
        <v>79</v>
      </c>
      <c r="B33" s="462" t="s">
        <v>211</v>
      </c>
      <c r="C33" s="619" t="s">
        <v>80</v>
      </c>
      <c r="D33" s="619"/>
      <c r="E33" s="619"/>
      <c r="F33" s="619" t="s">
        <v>81</v>
      </c>
      <c r="G33" s="619"/>
      <c r="H33" s="619"/>
      <c r="I33" s="631" t="s">
        <v>439</v>
      </c>
    </row>
    <row r="34" spans="1:9" ht="57" customHeight="1">
      <c r="A34" s="454"/>
      <c r="B34" s="462"/>
      <c r="C34" s="425" t="s">
        <v>209</v>
      </c>
      <c r="D34" s="425" t="s">
        <v>454</v>
      </c>
      <c r="E34" s="425" t="s">
        <v>453</v>
      </c>
      <c r="F34" s="425" t="s">
        <v>455</v>
      </c>
      <c r="G34" s="425" t="s">
        <v>210</v>
      </c>
      <c r="H34" s="425" t="s">
        <v>456</v>
      </c>
      <c r="I34" s="631"/>
    </row>
    <row r="35" spans="1:9">
      <c r="A35" s="433">
        <v>2017</v>
      </c>
      <c r="B35" s="311">
        <v>1</v>
      </c>
      <c r="C35" s="432">
        <f>+$D$5*12*B35</f>
        <v>19133.400000000001</v>
      </c>
      <c r="D35" s="432">
        <f>EGRESOS!$D$9*'ESTIMACIÓN DEM. DE POT MAXIMA'!B7*12*EGRESOS!B35*1000</f>
        <v>243657.21600000001</v>
      </c>
      <c r="E35" s="432">
        <f>EGRESOS!$D$12*'ESTIMACIÓN DEM. DE POT MAXIMA'!C7*12*EGRESOS!B35*1000</f>
        <v>216730.8</v>
      </c>
      <c r="F35" s="114">
        <f>'ESTIMACIÓN DEM. DE ENERGÍA'!C5*$D$20*B35*1000</f>
        <v>595250.17463340005</v>
      </c>
      <c r="G35" s="114">
        <f>'ESTIMACIÓN DEM. DE ENERGÍA'!B5*$D$29*$D$23*B35*1000</f>
        <v>119041.78532102998</v>
      </c>
      <c r="H35" s="114">
        <f>'ESTIMACIÓN DEM. DE ENERGÍA'!D5*$D$29*$D$26*B35*1000</f>
        <v>156577.37923713605</v>
      </c>
      <c r="I35" s="120">
        <f>SUM(C35:H35)</f>
        <v>1350390.7551915662</v>
      </c>
    </row>
    <row r="36" spans="1:9">
      <c r="A36" s="424">
        <v>2018</v>
      </c>
      <c r="B36" s="311">
        <v>1</v>
      </c>
      <c r="C36" s="432">
        <f t="shared" ref="C36:C65" si="0">+$D$5*12*B36</f>
        <v>19133.400000000001</v>
      </c>
      <c r="D36" s="432">
        <f>EGRESOS!$D$9*'ESTIMACIÓN DEM. DE POT MAXIMA'!B8*12*EGRESOS!B36*1000</f>
        <v>248530.36031999998</v>
      </c>
      <c r="E36" s="432">
        <f>EGRESOS!$D$12*'ESTIMACIÓN DEM. DE POT MAXIMA'!C8*12*EGRESOS!B36*1000</f>
        <v>221065.41600000003</v>
      </c>
      <c r="F36" s="114">
        <f>'ESTIMACIÓN DEM. DE ENERGÍA'!C6*$D$20*B36*1000</f>
        <v>607155.17812606809</v>
      </c>
      <c r="G36" s="114">
        <f>'ESTIMACIÓN DEM. DE ENERGÍA'!B6*$D$29*$D$23*B36*1000</f>
        <v>121422.62102745056</v>
      </c>
      <c r="H36" s="114">
        <f>'ESTIMACIÓN DEM. DE ENERGÍA'!D6*$D$29*$D$26*B36*1000</f>
        <v>159708.92682187876</v>
      </c>
      <c r="I36" s="120">
        <f>SUM(C36:H36)</f>
        <v>1377015.9022953976</v>
      </c>
    </row>
    <row r="37" spans="1:9">
      <c r="A37" s="433">
        <v>2019</v>
      </c>
      <c r="B37" s="311">
        <v>1</v>
      </c>
      <c r="C37" s="432">
        <f t="shared" si="0"/>
        <v>19133.400000000001</v>
      </c>
      <c r="D37" s="432">
        <f>EGRESOS!$D$9*'ESTIMACIÓN DEM. DE POT MAXIMA'!B9*12*EGRESOS!B37*1000</f>
        <v>253500.96752639997</v>
      </c>
      <c r="E37" s="432">
        <f>EGRESOS!$D$12*'ESTIMACIÓN DEM. DE POT MAXIMA'!C9*12*EGRESOS!B37*1000</f>
        <v>225486.72432000001</v>
      </c>
      <c r="F37" s="114">
        <f>'ESTIMACIÓN DEM. DE ENERGÍA'!C7*$D$20*B37*1000</f>
        <v>619298.28168858949</v>
      </c>
      <c r="G37" s="114">
        <f>'ESTIMACIÓN DEM. DE ENERGÍA'!B7*$D$29*$D$23*B37*1000</f>
        <v>123851.0734479996</v>
      </c>
      <c r="H37" s="114">
        <f>'ESTIMACIÓN DEM. DE ENERGÍA'!D7*$D$29*$D$26*B37*1000</f>
        <v>162903.10535831636</v>
      </c>
      <c r="I37" s="120">
        <f t="shared" ref="I37:I65" si="1">SUM(C37:H37)</f>
        <v>1404173.5523413054</v>
      </c>
    </row>
    <row r="38" spans="1:9">
      <c r="A38" s="424">
        <v>2020</v>
      </c>
      <c r="B38" s="311">
        <v>1</v>
      </c>
      <c r="C38" s="432">
        <f t="shared" si="0"/>
        <v>19133.400000000001</v>
      </c>
      <c r="D38" s="432">
        <f>EGRESOS!$D$9*'ESTIMACIÓN DEM. DE POT MAXIMA'!B10*12*EGRESOS!B38*1000</f>
        <v>258570.98687692793</v>
      </c>
      <c r="E38" s="432">
        <f>EGRESOS!$D$12*'ESTIMACIÓN DEM. DE POT MAXIMA'!C10*12*EGRESOS!B38*1000</f>
        <v>229996.45880639998</v>
      </c>
      <c r="F38" s="114">
        <f>'ESTIMACIÓN DEM. DE ENERGÍA'!C8*$D$20*B38*1000</f>
        <v>631684.24732236133</v>
      </c>
      <c r="G38" s="114">
        <f>'ESTIMACIÓN DEM. DE ENERGÍA'!B8*$D$29*$D$23*B38*1000</f>
        <v>126328.09491695957</v>
      </c>
      <c r="H38" s="114">
        <f>'ESTIMACIÓN DEM. DE ENERGÍA'!D8*$D$29*$D$26*B38*1000</f>
        <v>166161.16746548269</v>
      </c>
      <c r="I38" s="120">
        <f t="shared" si="1"/>
        <v>1431874.3553881315</v>
      </c>
    </row>
    <row r="39" spans="1:9">
      <c r="A39" s="433">
        <v>2021</v>
      </c>
      <c r="B39" s="311">
        <v>1</v>
      </c>
      <c r="C39" s="432">
        <f t="shared" si="0"/>
        <v>19133.400000000001</v>
      </c>
      <c r="D39" s="432">
        <f>EGRESOS!$D$9*'ESTIMACIÓN DEM. DE POT MAXIMA'!B11*12*EGRESOS!B39*1000</f>
        <v>263742.40661446645</v>
      </c>
      <c r="E39" s="432">
        <f>EGRESOS!$D$12*'ESTIMACIÓN DEM. DE POT MAXIMA'!C11*12*EGRESOS!B39*1000</f>
        <v>234596.38798252802</v>
      </c>
      <c r="F39" s="114">
        <f>'ESTIMACIÓN DEM. DE ENERGÍA'!C9*$D$20*B39*1000</f>
        <v>644317.93226880848</v>
      </c>
      <c r="G39" s="114">
        <f>'ESTIMACIÓN DEM. DE ENERGÍA'!B9*$D$29*$D$23*B39*1000</f>
        <v>128854.65681529877</v>
      </c>
      <c r="H39" s="114">
        <f>'ESTIMACIÓN DEM. DE ENERGÍA'!D9*$D$29*$D$26*B39*1000</f>
        <v>169484.39081479234</v>
      </c>
      <c r="I39" s="120">
        <f t="shared" si="1"/>
        <v>1460129.1744958942</v>
      </c>
    </row>
    <row r="40" spans="1:9">
      <c r="A40" s="424">
        <v>2022</v>
      </c>
      <c r="B40" s="311">
        <v>1</v>
      </c>
      <c r="C40" s="432">
        <f t="shared" si="0"/>
        <v>19133.400000000001</v>
      </c>
      <c r="D40" s="432">
        <f>EGRESOS!$D$9*'ESTIMACIÓN DEM. DE POT MAXIMA'!B12*12*EGRESOS!B40*1000</f>
        <v>269017.25474675582</v>
      </c>
      <c r="E40" s="432">
        <f>EGRESOS!$D$12*'ESTIMACIÓN DEM. DE POT MAXIMA'!C12*12*EGRESOS!B40*1000</f>
        <v>239288.31574217859</v>
      </c>
      <c r="F40" s="114">
        <f>'ESTIMACIÓN DEM. DE ENERGÍA'!C10*$D$20*B40*1000</f>
        <v>657204.29091418465</v>
      </c>
      <c r="G40" s="114">
        <f>'ESTIMACIÓN DEM. DE ENERGÍA'!B10*$D$29*$D$23*B40*1000</f>
        <v>131431.74995160475</v>
      </c>
      <c r="H40" s="114">
        <f>'ESTIMACIÓN DEM. DE ENERGÍA'!D10*$D$29*$D$26*B40*1000</f>
        <v>172874.0786310882</v>
      </c>
      <c r="I40" s="120">
        <f t="shared" si="1"/>
        <v>1488949.0899858121</v>
      </c>
    </row>
    <row r="41" spans="1:9">
      <c r="A41" s="433">
        <v>2023</v>
      </c>
      <c r="B41" s="311">
        <v>1</v>
      </c>
      <c r="C41" s="432">
        <f t="shared" si="0"/>
        <v>19133.400000000001</v>
      </c>
      <c r="D41" s="432">
        <f>EGRESOS!$D$9*'ESTIMACIÓN DEM. DE POT MAXIMA'!B13*12*EGRESOS!B41*1000</f>
        <v>274397.59984169091</v>
      </c>
      <c r="E41" s="432">
        <f>EGRESOS!$D$12*'ESTIMACIÓN DEM. DE POT MAXIMA'!C13*12*EGRESOS!B41*1000</f>
        <v>244074.08205702217</v>
      </c>
      <c r="F41" s="114">
        <f>'ESTIMACIÓN DEM. DE ENERGÍA'!C11*$D$20*B41*1000</f>
        <v>670348.37673246826</v>
      </c>
      <c r="G41" s="114">
        <f>'ESTIMACIÓN DEM. DE ENERGÍA'!B11*$D$29*$D$23*B41*1000</f>
        <v>134060.38495063686</v>
      </c>
      <c r="H41" s="114">
        <f>'ESTIMACIÓN DEM. DE ENERGÍA'!D11*$D$29*$D$26*B41*1000</f>
        <v>176331.56020370996</v>
      </c>
      <c r="I41" s="120">
        <f t="shared" si="1"/>
        <v>1518345.4037855281</v>
      </c>
    </row>
    <row r="42" spans="1:9">
      <c r="A42" s="424">
        <v>2024</v>
      </c>
      <c r="B42" s="311">
        <v>1</v>
      </c>
      <c r="C42" s="432">
        <f t="shared" si="0"/>
        <v>19133.400000000001</v>
      </c>
      <c r="D42" s="432">
        <f>EGRESOS!$D$9*'ESTIMACIÓN DEM. DE POT MAXIMA'!B14*12*EGRESOS!B42*1000</f>
        <v>279885.55183852476</v>
      </c>
      <c r="E42" s="432">
        <f>EGRESOS!$D$12*'ESTIMACIÓN DEM. DE POT MAXIMA'!C14*12*EGRESOS!B42*1000</f>
        <v>248955.56369816256</v>
      </c>
      <c r="F42" s="114">
        <f>'ESTIMACIÓN DEM. DE ENERGÍA'!C12*$D$20*B42*1000</f>
        <v>683755.34426711767</v>
      </c>
      <c r="G42" s="114">
        <f>'ESTIMACIÓN DEM. DE ENERGÍA'!B12*$D$29*$D$23*B42*1000</f>
        <v>136741.59264964957</v>
      </c>
      <c r="H42" s="114">
        <f>'ESTIMACIÓN DEM. DE ENERGÍA'!D12*$D$29*$D$26*B42*1000</f>
        <v>179858.19140778418</v>
      </c>
      <c r="I42" s="120">
        <f t="shared" si="1"/>
        <v>1548329.6438612388</v>
      </c>
    </row>
    <row r="43" spans="1:9">
      <c r="A43" s="433">
        <v>2025</v>
      </c>
      <c r="B43" s="311">
        <v>1</v>
      </c>
      <c r="C43" s="432">
        <f t="shared" si="0"/>
        <v>19133.400000000001</v>
      </c>
      <c r="D43" s="432">
        <f>EGRESOS!$D$9*'ESTIMACIÓN DEM. DE POT MAXIMA'!B15*12*EGRESOS!B43*1000</f>
        <v>285483.26287529524</v>
      </c>
      <c r="E43" s="432">
        <f>EGRESOS!$D$12*'ESTIMACIÓN DEM. DE POT MAXIMA'!C15*12*EGRESOS!B43*1000</f>
        <v>253934.67497212582</v>
      </c>
      <c r="F43" s="114">
        <f>'ESTIMACIÓN DEM. DE ENERGÍA'!C13*$D$20*B43*1000</f>
        <v>697430.45115246007</v>
      </c>
      <c r="G43" s="114">
        <f>'ESTIMACIÓN DEM. DE ENERGÍA'!B13*$D$29*$D$23*B43*1000</f>
        <v>139476.42450264256</v>
      </c>
      <c r="H43" s="114">
        <f>'ESTIMACIÓN DEM. DE ENERGÍA'!D13*$D$29*$D$26*B43*1000</f>
        <v>183455.35523593985</v>
      </c>
      <c r="I43" s="120">
        <f t="shared" si="1"/>
        <v>1578913.5687384636</v>
      </c>
    </row>
    <row r="44" spans="1:9">
      <c r="A44" s="424">
        <v>2026</v>
      </c>
      <c r="B44" s="311">
        <v>1</v>
      </c>
      <c r="C44" s="432">
        <f t="shared" si="0"/>
        <v>19133.400000000001</v>
      </c>
      <c r="D44" s="432">
        <f>EGRESOS!$D$9*'ESTIMACIÓN DEM. DE POT MAXIMA'!B16*12*EGRESOS!B44*1000</f>
        <v>291192.92813280114</v>
      </c>
      <c r="E44" s="432">
        <f>EGRESOS!$D$12*'ESTIMACIÓN DEM. DE POT MAXIMA'!C16*12*EGRESOS!B44*1000</f>
        <v>259013.36847156836</v>
      </c>
      <c r="F44" s="114">
        <f>'ESTIMACIÓN DEM. DE ENERGÍA'!C14*$D$20*B44*1000</f>
        <v>711379.06017550931</v>
      </c>
      <c r="G44" s="114">
        <f>'ESTIMACIÓN DEM. DE ENERGÍA'!B14*$D$29*$D$23*B44*1000</f>
        <v>142265.95299269541</v>
      </c>
      <c r="H44" s="114">
        <f>'ESTIMACIÓN DEM. DE ENERGÍA'!D14*$D$29*$D$26*B44*1000</f>
        <v>187124.46234065862</v>
      </c>
      <c r="I44" s="120">
        <f t="shared" si="1"/>
        <v>1610109.1721132328</v>
      </c>
    </row>
    <row r="45" spans="1:9">
      <c r="A45" s="433">
        <v>2027</v>
      </c>
      <c r="B45" s="311">
        <v>1</v>
      </c>
      <c r="C45" s="432">
        <f t="shared" si="0"/>
        <v>19133.400000000001</v>
      </c>
      <c r="D45" s="432">
        <f>EGRESOS!$D$9*'ESTIMACIÓN DEM. DE POT MAXIMA'!B17*12*EGRESOS!B45*1000</f>
        <v>297016.78669545712</v>
      </c>
      <c r="E45" s="432">
        <f>EGRESOS!$D$12*'ESTIMACIÓN DEM. DE POT MAXIMA'!C17*12*EGRESOS!B45*1000</f>
        <v>264193.63584099972</v>
      </c>
      <c r="F45" s="114">
        <f>'ESTIMACIÓN DEM. DE ENERGÍA'!C15*$D$20*B45*1000</f>
        <v>725606.64137901948</v>
      </c>
      <c r="G45" s="114">
        <f>'ESTIMACIÓN DEM. DE ENERGÍA'!B15*$D$29*$D$23*B45*1000</f>
        <v>145111.27205254932</v>
      </c>
      <c r="H45" s="114">
        <f>'ESTIMACIÓN DEM. DE ENERGÍA'!D15*$D$29*$D$26*B45*1000</f>
        <v>190866.95158747179</v>
      </c>
      <c r="I45" s="120">
        <f t="shared" si="1"/>
        <v>1641928.6875554975</v>
      </c>
    </row>
    <row r="46" spans="1:9">
      <c r="A46" s="424">
        <v>2028</v>
      </c>
      <c r="B46" s="311">
        <v>1</v>
      </c>
      <c r="C46" s="432">
        <f t="shared" si="0"/>
        <v>19133.400000000001</v>
      </c>
      <c r="D46" s="432">
        <f>EGRESOS!$D$9*'ESTIMACIÓN DEM. DE POT MAXIMA'!B18*12*EGRESOS!B46*1000</f>
        <v>302957.12242936628</v>
      </c>
      <c r="E46" s="432">
        <f>EGRESOS!$D$12*'ESTIMACIÓN DEM. DE POT MAXIMA'!C18*12*EGRESOS!B46*1000</f>
        <v>269477.50855781976</v>
      </c>
      <c r="F46" s="114">
        <f>'ESTIMACIÓN DEM. DE ENERGÍA'!C16*$D$20*B46*1000</f>
        <v>740118.77420659992</v>
      </c>
      <c r="G46" s="114">
        <f>'ESTIMACIÓN DEM. DE ENERGÍA'!B16*$D$29*$D$23*B46*1000</f>
        <v>148013.49749360033</v>
      </c>
      <c r="H46" s="114">
        <f>'ESTIMACIÓN DEM. DE ENERGÍA'!D16*$D$29*$D$26*B46*1000</f>
        <v>194684.2906192212</v>
      </c>
      <c r="I46" s="120">
        <f t="shared" si="1"/>
        <v>1674384.5933066076</v>
      </c>
    </row>
    <row r="47" spans="1:9">
      <c r="A47" s="433">
        <v>2029</v>
      </c>
      <c r="B47" s="311">
        <v>1</v>
      </c>
      <c r="C47" s="432">
        <f t="shared" si="0"/>
        <v>19133.400000000001</v>
      </c>
      <c r="D47" s="432">
        <f>EGRESOS!$D$9*'ESTIMACIÓN DEM. DE POT MAXIMA'!B19*12*EGRESOS!B47*1000</f>
        <v>309016.26487795362</v>
      </c>
      <c r="E47" s="432">
        <f>EGRESOS!$D$12*'ESTIMACIÓN DEM. DE POT MAXIMA'!C19*12*EGRESOS!B47*1000</f>
        <v>274867.05872897612</v>
      </c>
      <c r="F47" s="114">
        <f>'ESTIMACIÓN DEM. DE ENERGÍA'!C17*$D$20*B47*1000</f>
        <v>754921.14969073189</v>
      </c>
      <c r="G47" s="114">
        <f>'ESTIMACIÓN DEM. DE ENERGÍA'!B17*$D$29*$D$23*B47*1000</f>
        <v>150973.76744347232</v>
      </c>
      <c r="H47" s="114">
        <f>'ESTIMACIÓN DEM. DE ENERGÍA'!D17*$D$29*$D$26*B47*1000</f>
        <v>198577.97643160567</v>
      </c>
      <c r="I47" s="120">
        <f t="shared" si="1"/>
        <v>1707489.6171727395</v>
      </c>
    </row>
    <row r="48" spans="1:9">
      <c r="A48" s="424">
        <v>2030</v>
      </c>
      <c r="B48" s="311">
        <v>1</v>
      </c>
      <c r="C48" s="432">
        <f t="shared" si="0"/>
        <v>19133.400000000001</v>
      </c>
      <c r="D48" s="432">
        <f>EGRESOS!$D$9*'ESTIMACIÓN DEM. DE POT MAXIMA'!B20*12*EGRESOS!B48*1000</f>
        <v>315196.59017551265</v>
      </c>
      <c r="E48" s="432">
        <f>EGRESOS!$D$12*'ESTIMACIÓN DEM. DE POT MAXIMA'!C20*12*EGRESOS!B48*1000</f>
        <v>280364.39990355563</v>
      </c>
      <c r="F48" s="114">
        <f>'ESTIMACIÓN DEM. DE ENERGÍA'!C18*$D$20*B48*1000</f>
        <v>770019.57268454658</v>
      </c>
      <c r="G48" s="114">
        <f>'ESTIMACIÓN DEM. DE ENERGÍA'!B18*$D$29*$D$23*B48*1000</f>
        <v>153993.2427923418</v>
      </c>
      <c r="H48" s="114">
        <f>'ESTIMACIÓN DEM. DE ENERGÍA'!D18*$D$29*$D$26*B48*1000</f>
        <v>202549.53596023779</v>
      </c>
      <c r="I48" s="120">
        <f t="shared" si="1"/>
        <v>1741256.7415161945</v>
      </c>
    </row>
    <row r="49" spans="1:9">
      <c r="A49" s="433">
        <v>2031</v>
      </c>
      <c r="B49" s="311">
        <v>1</v>
      </c>
      <c r="C49" s="432">
        <f t="shared" si="0"/>
        <v>19133.400000000001</v>
      </c>
      <c r="D49" s="432">
        <f>EGRESOS!$D$9*'ESTIMACIÓN DEM. DE POT MAXIMA'!B21*12*EGRESOS!B49*1000</f>
        <v>321500.52197902289</v>
      </c>
      <c r="E49" s="432">
        <f>EGRESOS!$D$12*'ESTIMACIÓN DEM. DE POT MAXIMA'!C21*12*EGRESOS!B49*1000</f>
        <v>285971.68790162675</v>
      </c>
      <c r="F49" s="114">
        <f>'ESTIMACIÓN DEM. DE ENERGÍA'!C19*$D$20*B49*1000</f>
        <v>785419.96413823741</v>
      </c>
      <c r="G49" s="114">
        <f>'ESTIMACIÓN DEM. DE ENERGÍA'!B19*$D$29*$D$23*B49*1000</f>
        <v>157073.10764818863</v>
      </c>
      <c r="H49" s="114">
        <f>'ESTIMACIÓN DEM. DE ENERGÍA'!D19*$D$29*$D$26*B49*1000</f>
        <v>206600.5266794425</v>
      </c>
      <c r="I49" s="120">
        <f t="shared" si="1"/>
        <v>1775699.2083465185</v>
      </c>
    </row>
    <row r="50" spans="1:9">
      <c r="A50" s="424">
        <v>2032</v>
      </c>
      <c r="B50" s="311">
        <v>1</v>
      </c>
      <c r="C50" s="432">
        <f t="shared" si="0"/>
        <v>19133.400000000001</v>
      </c>
      <c r="D50" s="432">
        <f>EGRESOS!$D$9*'ESTIMACIÓN DEM. DE POT MAXIMA'!B22*12*EGRESOS!B50*1000</f>
        <v>327930.53241860337</v>
      </c>
      <c r="E50" s="432">
        <f>EGRESOS!$D$12*'ESTIMACIÓN DEM. DE POT MAXIMA'!C22*12*EGRESOS!B50*1000</f>
        <v>291691.12165965931</v>
      </c>
      <c r="F50" s="114">
        <f>'ESTIMACIÓN DEM. DE ENERGÍA'!C20*$D$20*B50*1000</f>
        <v>801128.36342100217</v>
      </c>
      <c r="G50" s="114">
        <f>'ESTIMACIÓN DEM. DE ENERGÍA'!B20*$D$29*$D$23*B50*1000</f>
        <v>160214.56980115242</v>
      </c>
      <c r="H50" s="114">
        <f>'ESTIMACIÓN DEM. DE ENERGÍA'!D20*$D$29*$D$26*B50*1000</f>
        <v>210732.53721303141</v>
      </c>
      <c r="I50" s="120">
        <f t="shared" si="1"/>
        <v>1810830.5245134488</v>
      </c>
    </row>
    <row r="51" spans="1:9">
      <c r="A51" s="433">
        <v>2033</v>
      </c>
      <c r="B51" s="311">
        <v>1</v>
      </c>
      <c r="C51" s="432">
        <f t="shared" si="0"/>
        <v>19133.400000000001</v>
      </c>
      <c r="D51" s="432">
        <f>EGRESOS!$D$9*'ESTIMACIÓN DEM. DE POT MAXIMA'!B23*12*EGRESOS!B51*1000</f>
        <v>334489.1430669754</v>
      </c>
      <c r="E51" s="432">
        <f>EGRESOS!$D$12*'ESTIMACIÓN DEM. DE POT MAXIMA'!C23*12*EGRESOS!B51*1000</f>
        <v>297524.94409285247</v>
      </c>
      <c r="F51" s="114">
        <f>'ESTIMACIÓN DEM. DE ENERGÍA'!C21*$D$20*B51*1000</f>
        <v>817150.93068942218</v>
      </c>
      <c r="G51" s="114">
        <f>'ESTIMACIÓN DEM. DE ENERGÍA'!B21*$D$29*$D$23*B51*1000</f>
        <v>163418.86119717543</v>
      </c>
      <c r="H51" s="114">
        <f>'ESTIMACIÓN DEM. DE ENERGÍA'!D21*$D$29*$D$26*B51*1000</f>
        <v>214947.18795729199</v>
      </c>
      <c r="I51" s="120">
        <f t="shared" si="1"/>
        <v>1846664.4670037176</v>
      </c>
    </row>
    <row r="52" spans="1:9">
      <c r="A52" s="424">
        <v>2034</v>
      </c>
      <c r="B52" s="311">
        <v>1</v>
      </c>
      <c r="C52" s="432">
        <f t="shared" si="0"/>
        <v>19133.400000000001</v>
      </c>
      <c r="D52" s="432">
        <f>EGRESOS!$D$9*'ESTIMACIÓN DEM. DE POT MAXIMA'!B24*12*EGRESOS!B52*1000</f>
        <v>341178.92592831491</v>
      </c>
      <c r="E52" s="432">
        <f>EGRESOS!$D$12*'ESTIMACIÓN DEM. DE POT MAXIMA'!C24*12*EGRESOS!B52*1000</f>
        <v>303475.44297470956</v>
      </c>
      <c r="F52" s="114">
        <f>'ESTIMACIÓN DEM. DE ENERGÍA'!C22*$D$20*B52*1000</f>
        <v>833493.94930321071</v>
      </c>
      <c r="G52" s="114">
        <f>'ESTIMACIÓN DEM. DE ENERGÍA'!B22*$D$29*$D$23*B52*1000</f>
        <v>166687.23842111896</v>
      </c>
      <c r="H52" s="114">
        <f>'ESTIMACIÓN DEM. DE ENERGÍA'!D22*$D$29*$D$26*B52*1000</f>
        <v>219246.13171643784</v>
      </c>
      <c r="I52" s="120">
        <f t="shared" si="1"/>
        <v>1883215.0883437921</v>
      </c>
    </row>
    <row r="53" spans="1:9">
      <c r="A53" s="433">
        <v>2035</v>
      </c>
      <c r="B53" s="311">
        <v>1</v>
      </c>
      <c r="C53" s="432">
        <f t="shared" si="0"/>
        <v>19133.400000000001</v>
      </c>
      <c r="D53" s="432">
        <f>EGRESOS!$D$9*'ESTIMACIÓN DEM. DE POT MAXIMA'!B25*12*EGRESOS!B53*1000</f>
        <v>348002.50444688124</v>
      </c>
      <c r="E53" s="432">
        <f>EGRESOS!$D$12*'ESTIMACIÓN DEM. DE POT MAXIMA'!C25*12*EGRESOS!B53*1000</f>
        <v>309544.95183420373</v>
      </c>
      <c r="F53" s="114">
        <f>'ESTIMACIÓN DEM. DE ENERGÍA'!C23*$D$20*B53*1000</f>
        <v>850163.82828927482</v>
      </c>
      <c r="G53" s="114">
        <f>'ESTIMACIÓN DEM. DE ENERGÍA'!B23*$D$29*$D$23*B53*1000</f>
        <v>170020.98318954138</v>
      </c>
      <c r="H53" s="114">
        <f>'ESTIMACIÓN DEM. DE ENERGÍA'!D23*$D$29*$D$26*B53*1000</f>
        <v>223631.05435076662</v>
      </c>
      <c r="I53" s="120">
        <f t="shared" si="1"/>
        <v>1920496.7221106677</v>
      </c>
    </row>
    <row r="54" spans="1:9">
      <c r="A54" s="424">
        <v>2036</v>
      </c>
      <c r="B54" s="311">
        <v>1</v>
      </c>
      <c r="C54" s="432">
        <f t="shared" si="0"/>
        <v>19133.400000000001</v>
      </c>
      <c r="D54" s="432">
        <f>EGRESOS!$D$9*'ESTIMACIÓN DEM. DE POT MAXIMA'!B26*12*EGRESOS!B54*1000</f>
        <v>354962.55453581887</v>
      </c>
      <c r="E54" s="432">
        <f>EGRESOS!$D$12*'ESTIMACIÓN DEM. DE POT MAXIMA'!C26*12*EGRESOS!B54*1000</f>
        <v>315735.85087088781</v>
      </c>
      <c r="F54" s="114">
        <f>'ESTIMACIÓN DEM. DE ENERGÍA'!C24*$D$20*B54*1000</f>
        <v>867167.10485506046</v>
      </c>
      <c r="G54" s="114">
        <f>'ESTIMACIÓN DEM. DE ENERGÍA'!B24*$D$29*$D$23*B54*1000</f>
        <v>173421.40285333217</v>
      </c>
      <c r="H54" s="114">
        <f>'ESTIMACIÓN DEM. DE ENERGÍA'!D24*$D$29*$D$26*B54*1000</f>
        <v>228103.67543778199</v>
      </c>
      <c r="I54" s="120">
        <f t="shared" si="1"/>
        <v>1958523.9885528812</v>
      </c>
    </row>
    <row r="55" spans="1:9">
      <c r="A55" s="433">
        <v>2037</v>
      </c>
      <c r="B55" s="311">
        <v>1</v>
      </c>
      <c r="C55" s="432">
        <f t="shared" si="0"/>
        <v>19133.400000000001</v>
      </c>
      <c r="D55" s="432">
        <f>EGRESOS!$D$9*'ESTIMACIÓN DEM. DE POT MAXIMA'!B27*12*EGRESOS!B55*1000</f>
        <v>362061.80562653526</v>
      </c>
      <c r="E55" s="432">
        <f>EGRESOS!$D$12*'ESTIMACIÓN DEM. DE POT MAXIMA'!C27*12*EGRESOS!B55*1000</f>
        <v>322050.56788830552</v>
      </c>
      <c r="F55" s="114">
        <f>'ESTIMACIÓN DEM. DE ENERGÍA'!C25*$D$20*B55*1000</f>
        <v>884510.44695216161</v>
      </c>
      <c r="G55" s="114">
        <f>'ESTIMACIÓN DEM. DE ENERGÍA'!B25*$D$29*$D$23*B55*1000</f>
        <v>176889.8309103988</v>
      </c>
      <c r="H55" s="114">
        <f>'ESTIMACIÓN DEM. DE ENERGÍA'!D25*$D$29*$D$26*B55*1000</f>
        <v>232665.74894653761</v>
      </c>
      <c r="I55" s="120">
        <f t="shared" si="1"/>
        <v>1997311.800323939</v>
      </c>
    </row>
    <row r="56" spans="1:9">
      <c r="A56" s="424">
        <v>2038</v>
      </c>
      <c r="B56" s="311">
        <v>1</v>
      </c>
      <c r="C56" s="432">
        <f t="shared" si="0"/>
        <v>19133.400000000001</v>
      </c>
      <c r="D56" s="432">
        <f>EGRESOS!$D$9*'ESTIMACIÓN DEM. DE POT MAXIMA'!B28*12*EGRESOS!B56*1000</f>
        <v>369303.0417390659</v>
      </c>
      <c r="E56" s="432">
        <f>EGRESOS!$D$12*'ESTIMACIÓN DEM. DE POT MAXIMA'!C28*12*EGRESOS!B56*1000</f>
        <v>328491.57924607163</v>
      </c>
      <c r="F56" s="114">
        <f>'ESTIMACIÓN DEM. DE ENERGÍA'!C26*$D$20*B56*1000</f>
        <v>902200.65589120472</v>
      </c>
      <c r="G56" s="114">
        <f>'ESTIMACIÓN DEM. DE ENERGÍA'!B26*$D$29*$D$23*B56*1000</f>
        <v>180427.62752860683</v>
      </c>
      <c r="H56" s="114">
        <f>'ESTIMACIÓN DEM. DE ENERGÍA'!D26*$D$29*$D$26*B56*1000</f>
        <v>237319.06392546842</v>
      </c>
      <c r="I56" s="120">
        <f t="shared" si="1"/>
        <v>2036875.3683304177</v>
      </c>
    </row>
    <row r="57" spans="1:9">
      <c r="A57" s="433">
        <v>2039</v>
      </c>
      <c r="B57" s="311">
        <v>1</v>
      </c>
      <c r="C57" s="432">
        <f t="shared" si="0"/>
        <v>19133.400000000001</v>
      </c>
      <c r="D57" s="432">
        <f>EGRESOS!$D$9*'ESTIMACIÓN DEM. DE POT MAXIMA'!B29*12*EGRESOS!B57*1000</f>
        <v>376689.10257384722</v>
      </c>
      <c r="E57" s="432">
        <f>EGRESOS!$D$12*'ESTIMACIÓN DEM. DE POT MAXIMA'!C29*12*EGRESOS!B57*1000</f>
        <v>335061.41083099309</v>
      </c>
      <c r="F57" s="114">
        <f>'ESTIMACIÓN DEM. DE ENERGÍA'!C27*$D$20*B57*1000</f>
        <v>920244.66900902893</v>
      </c>
      <c r="G57" s="114">
        <f>'ESTIMACIÓN DEM. DE ENERGÍA'!B27*$D$29*$D$23*B57*1000</f>
        <v>184036.18007917897</v>
      </c>
      <c r="H57" s="114">
        <f>'ESTIMACIÓN DEM. DE ENERGÍA'!D27*$D$29*$D$26*B57*1000</f>
        <v>242065.44520397772</v>
      </c>
      <c r="I57" s="120">
        <f t="shared" si="1"/>
        <v>2077230.2076970257</v>
      </c>
    </row>
    <row r="58" spans="1:9">
      <c r="A58" s="424">
        <v>2040</v>
      </c>
      <c r="B58" s="311">
        <v>1</v>
      </c>
      <c r="C58" s="432">
        <f t="shared" si="0"/>
        <v>19133.400000000001</v>
      </c>
      <c r="D58" s="432">
        <f>EGRESOS!$D$9*'ESTIMACIÓN DEM. DE POT MAXIMA'!B30*12*EGRESOS!B58*1000</f>
        <v>384222.88462532422</v>
      </c>
      <c r="E58" s="432">
        <f>EGRESOS!$D$12*'ESTIMACIÓN DEM. DE POT MAXIMA'!C30*12*EGRESOS!B58*1000</f>
        <v>341762.63904761302</v>
      </c>
      <c r="F58" s="114">
        <f>'ESTIMACIÓN DEM. DE ENERGÍA'!C28*$D$20*B58*1000</f>
        <v>938649.5623892094</v>
      </c>
      <c r="G58" s="114">
        <f>'ESTIMACIÓN DEM. DE ENERGÍA'!B28*$D$29*$D$23*B58*1000</f>
        <v>187716.90368076254</v>
      </c>
      <c r="H58" s="114">
        <f>'ESTIMACIÓN DEM. DE ENERGÍA'!D28*$D$29*$D$26*B58*1000</f>
        <v>246906.75410805727</v>
      </c>
      <c r="I58" s="120">
        <f t="shared" si="1"/>
        <v>2118392.1438509664</v>
      </c>
    </row>
    <row r="59" spans="1:9">
      <c r="A59" s="433">
        <v>2041</v>
      </c>
      <c r="B59" s="311">
        <v>1</v>
      </c>
      <c r="C59" s="432">
        <f t="shared" si="0"/>
        <v>19133.400000000001</v>
      </c>
      <c r="D59" s="432">
        <f>EGRESOS!$D$9*'ESTIMACIÓN DEM. DE POT MAXIMA'!B31*12*EGRESOS!B59*1000</f>
        <v>391907.34231783071</v>
      </c>
      <c r="E59" s="432">
        <f>EGRESOS!$D$12*'ESTIMACIÓN DEM. DE POT MAXIMA'!C31*12*EGRESOS!B59*1000</f>
        <v>348597.89182856528</v>
      </c>
      <c r="F59" s="114">
        <f>'ESTIMACIÓN DEM. DE ENERGÍA'!C29*$D$20*B59*1000</f>
        <v>957422.55363699375</v>
      </c>
      <c r="G59" s="114">
        <f>'ESTIMACIÓN DEM. DE ENERGÍA'!B29*$D$29*$D$23*B59*1000</f>
        <v>191471.24175437778</v>
      </c>
      <c r="H59" s="114">
        <f>'ESTIMACIÓN DEM. DE ENERGÍA'!D29*$D$29*$D$26*B59*1000</f>
        <v>251844.88919021838</v>
      </c>
      <c r="I59" s="120">
        <f t="shared" si="1"/>
        <v>2160377.318727986</v>
      </c>
    </row>
    <row r="60" spans="1:9">
      <c r="A60" s="424">
        <v>2042</v>
      </c>
      <c r="B60" s="311">
        <v>1</v>
      </c>
      <c r="C60" s="432">
        <f t="shared" si="0"/>
        <v>19133.400000000001</v>
      </c>
      <c r="D60" s="432">
        <f>EGRESOS!$D$9*'ESTIMACIÓN DEM. DE POT MAXIMA'!B32*12*EGRESOS!B60*1000</f>
        <v>399745.48916418734</v>
      </c>
      <c r="E60" s="432">
        <f>EGRESOS!$D$12*'ESTIMACIÓN DEM. DE POT MAXIMA'!C32*12*EGRESOS!B60*1000</f>
        <v>355569.84966513654</v>
      </c>
      <c r="F60" s="114">
        <f>'ESTIMACIÓN DEM. DE ENERGÍA'!C30*$D$20*B60*1000</f>
        <v>976571.00470973365</v>
      </c>
      <c r="G60" s="114">
        <f>'ESTIMACIÓN DEM. DE ENERGÍA'!B30*$D$29*$D$23*B60*1000</f>
        <v>195300.66658946534</v>
      </c>
      <c r="H60" s="114">
        <f>'ESTIMACIÓN DEM. DE ENERGÍA'!D30*$D$29*$D$26*B60*1000</f>
        <v>256881.78697402281</v>
      </c>
      <c r="I60" s="120">
        <f t="shared" si="1"/>
        <v>2203202.1971025458</v>
      </c>
    </row>
    <row r="61" spans="1:9">
      <c r="A61" s="433">
        <v>2043</v>
      </c>
      <c r="B61" s="311">
        <v>1</v>
      </c>
      <c r="C61" s="432">
        <f t="shared" si="0"/>
        <v>19133.400000000001</v>
      </c>
      <c r="D61" s="432">
        <f>EGRESOS!$D$9*'ESTIMACIÓN DEM. DE POT MAXIMA'!B33*12*EGRESOS!B61*1000</f>
        <v>407740.398947471</v>
      </c>
      <c r="E61" s="432">
        <f>EGRESOS!$D$12*'ESTIMACIÓN DEM. DE POT MAXIMA'!C33*12*EGRESOS!B61*1000</f>
        <v>362681.24665843922</v>
      </c>
      <c r="F61" s="114">
        <f>'ESTIMACIÓN DEM. DE ENERGÍA'!C31*$D$20*B61*1000</f>
        <v>996102.42480392824</v>
      </c>
      <c r="G61" s="114">
        <f>'ESTIMACIÓN DEM. DE ENERGÍA'!B31*$D$29*$D$23*B61*1000</f>
        <v>199206.67992125466</v>
      </c>
      <c r="H61" s="114">
        <f>'ESTIMACIÓN DEM. DE ENERGÍA'!D31*$D$29*$D$26*B61*1000</f>
        <v>262019.42271350327</v>
      </c>
      <c r="I61" s="120">
        <f t="shared" si="1"/>
        <v>2246883.5730445967</v>
      </c>
    </row>
    <row r="62" spans="1:9">
      <c r="A62" s="424">
        <v>2044</v>
      </c>
      <c r="B62" s="311">
        <v>1</v>
      </c>
      <c r="C62" s="432">
        <f t="shared" si="0"/>
        <v>19133.400000000001</v>
      </c>
      <c r="D62" s="432">
        <f>EGRESOS!$D$9*'ESTIMACIÓN DEM. DE POT MAXIMA'!B34*12*EGRESOS!B62*1000</f>
        <v>415895.20692642056</v>
      </c>
      <c r="E62" s="432">
        <f>EGRESOS!$D$12*'ESTIMACIÓN DEM. DE POT MAXIMA'!C34*12*EGRESOS!B62*1000</f>
        <v>369934.87159160804</v>
      </c>
      <c r="F62" s="114">
        <f>'ESTIMACIÓN DEM. DE ENERGÍA'!C32*$D$20*B62*1000</f>
        <v>1016024.4733000069</v>
      </c>
      <c r="G62" s="114">
        <f>'ESTIMACIÓN DEM. DE ENERGÍA'!B32*$D$29*$D$23*B62*1000</f>
        <v>203190.81351967971</v>
      </c>
      <c r="H62" s="114">
        <f>'ESTIMACIÓN DEM. DE ENERGÍA'!D32*$D$29*$D$26*B62*1000</f>
        <v>267259.81116777338</v>
      </c>
      <c r="I62" s="120">
        <f t="shared" si="1"/>
        <v>2291438.5765054887</v>
      </c>
    </row>
    <row r="63" spans="1:9">
      <c r="A63" s="433">
        <v>2045</v>
      </c>
      <c r="B63" s="311">
        <v>1</v>
      </c>
      <c r="C63" s="432">
        <f t="shared" si="0"/>
        <v>19133.400000000001</v>
      </c>
      <c r="D63" s="432">
        <f>EGRESOS!$D$9*'ESTIMACIÓN DEM. DE POT MAXIMA'!B35*12*EGRESOS!B63*1000</f>
        <v>424213.1110649489</v>
      </c>
      <c r="E63" s="432">
        <f>EGRESOS!$D$12*'ESTIMACIÓN DEM. DE POT MAXIMA'!C35*12*EGRESOS!B63*1000</f>
        <v>377333.56902344018</v>
      </c>
      <c r="F63" s="114">
        <f>'ESTIMACIÓN DEM. DE ENERGÍA'!C33*$D$20*B63*1000</f>
        <v>1036344.9627660071</v>
      </c>
      <c r="G63" s="114">
        <f>'ESTIMACIÓN DEM. DE ENERGÍA'!B33*$D$29*$D$23*B63*1000</f>
        <v>207254.62979007332</v>
      </c>
      <c r="H63" s="114">
        <f>'ESTIMACIÓN DEM. DE ENERGÍA'!D33*$D$29*$D$26*B63*1000</f>
        <v>272605.00739112875</v>
      </c>
      <c r="I63" s="120">
        <f t="shared" si="1"/>
        <v>2336884.6800355981</v>
      </c>
    </row>
    <row r="64" spans="1:9">
      <c r="A64" s="424">
        <v>2046</v>
      </c>
      <c r="B64" s="311">
        <v>1</v>
      </c>
      <c r="C64" s="432">
        <f t="shared" si="0"/>
        <v>19133.400000000001</v>
      </c>
      <c r="D64" s="432">
        <f>EGRESOS!$D$9*'ESTIMACIÓN DEM. DE POT MAXIMA'!B36*12*EGRESOS!B64*1000</f>
        <v>432697.37328624784</v>
      </c>
      <c r="E64" s="432">
        <f>EGRESOS!$D$12*'ESTIMACIÓN DEM. DE POT MAXIMA'!C36*12*EGRESOS!B64*1000</f>
        <v>384880.24040390895</v>
      </c>
      <c r="F64" s="114">
        <f>'ESTIMACIÓN DEM. DE ENERGÍA'!C34*$D$20*B64*1000</f>
        <v>1057071.8620213273</v>
      </c>
      <c r="G64" s="114">
        <f>'ESTIMACIÓN DEM. DE ENERGÍA'!B34*$D$29*$D$23*B64*1000</f>
        <v>211399.72238587475</v>
      </c>
      <c r="H64" s="114">
        <f>'ESTIMACIÓN DEM. DE ENERGÍA'!D34*$D$29*$D$26*B64*1000</f>
        <v>278057.10753895133</v>
      </c>
      <c r="I64" s="120">
        <f t="shared" si="1"/>
        <v>2383239.7056363104</v>
      </c>
    </row>
    <row r="65" spans="1:9">
      <c r="A65" s="433">
        <v>2047</v>
      </c>
      <c r="B65" s="311">
        <v>1</v>
      </c>
      <c r="C65" s="432">
        <f t="shared" si="0"/>
        <v>19133.400000000001</v>
      </c>
      <c r="D65" s="432">
        <f>EGRESOS!$D$9*'ESTIMACIÓN DEM. DE POT MAXIMA'!B37*12*EGRESOS!B65*1000</f>
        <v>441351.32075197285</v>
      </c>
      <c r="E65" s="432">
        <f>EGRESOS!$D$12*'ESTIMACIÓN DEM. DE POT MAXIMA'!C37*12*EGRESOS!B65*1000</f>
        <v>392577.84521198721</v>
      </c>
      <c r="F65" s="114">
        <f>'ESTIMACIÓN DEM. DE ENERGÍA'!C35*$D$20*B65*1000</f>
        <v>1078213.2992617537</v>
      </c>
      <c r="G65" s="114">
        <f>'ESTIMACIÓN DEM. DE ENERGÍA'!B35*$D$29*$D$23*B65*1000</f>
        <v>215627.71683359222</v>
      </c>
      <c r="H65" s="114">
        <f>'ESTIMACIÓN DEM. DE ENERGÍA'!D35*$D$29*$D$26*B65*1000</f>
        <v>283618.24968973035</v>
      </c>
      <c r="I65" s="120">
        <f t="shared" si="1"/>
        <v>2430521.8317490364</v>
      </c>
    </row>
    <row r="66" spans="1:9">
      <c r="A66" s="101"/>
      <c r="B66" s="116"/>
      <c r="C66" s="118"/>
      <c r="D66" s="118"/>
      <c r="E66" s="118"/>
      <c r="F66" s="119"/>
      <c r="G66" s="119"/>
      <c r="H66" s="119"/>
      <c r="I66" s="274"/>
    </row>
    <row r="68" spans="1:9">
      <c r="A68" s="630" t="s">
        <v>463</v>
      </c>
      <c r="B68" s="630"/>
      <c r="C68" s="630"/>
      <c r="D68" s="630"/>
      <c r="E68" s="630"/>
      <c r="F68" s="630"/>
      <c r="G68" s="630"/>
      <c r="H68" s="630"/>
      <c r="I68" s="630"/>
    </row>
    <row r="69" spans="1:9">
      <c r="A69" s="454" t="s">
        <v>79</v>
      </c>
      <c r="B69" s="462" t="s">
        <v>211</v>
      </c>
      <c r="C69" s="619" t="s">
        <v>80</v>
      </c>
      <c r="D69" s="619"/>
      <c r="E69" s="619"/>
      <c r="F69" s="619" t="s">
        <v>81</v>
      </c>
      <c r="G69" s="619"/>
      <c r="H69" s="619"/>
      <c r="I69" s="631" t="s">
        <v>217</v>
      </c>
    </row>
    <row r="70" spans="1:9" ht="45">
      <c r="A70" s="454"/>
      <c r="B70" s="462"/>
      <c r="C70" s="425" t="s">
        <v>209</v>
      </c>
      <c r="D70" s="425" t="s">
        <v>454</v>
      </c>
      <c r="E70" s="425" t="s">
        <v>453</v>
      </c>
      <c r="F70" s="425" t="s">
        <v>455</v>
      </c>
      <c r="G70" s="425" t="s">
        <v>210</v>
      </c>
      <c r="H70" s="425" t="s">
        <v>456</v>
      </c>
      <c r="I70" s="631"/>
    </row>
    <row r="71" spans="1:9">
      <c r="A71" s="424">
        <v>2017</v>
      </c>
      <c r="B71" s="311">
        <v>1</v>
      </c>
      <c r="C71" s="432">
        <f t="shared" ref="C71:C101" si="2">+$D$5*12*B71</f>
        <v>19133.400000000001</v>
      </c>
      <c r="D71" s="432">
        <f>EGRESOS!$D$9*'ESTIMACIÓN DEM. DE POT MAXIMA'!D7*12*EGRESOS!B71*1000</f>
        <v>243657.21600000001</v>
      </c>
      <c r="E71" s="432">
        <f>EGRESOS!$D$12*'ESTIMACIÓN DEM. DE POT MAXIMA'!E7*12*EGRESOS!B71*1000</f>
        <v>216730.8</v>
      </c>
      <c r="F71" s="114">
        <f>'ESTIMACIÓN DEM. DE ENERGÍA'!F5*$D$20*B71*1000</f>
        <v>595250.17463340005</v>
      </c>
      <c r="G71" s="114">
        <f>'ESTIMACIÓN DEM. DE ENERGÍA'!E5*$D$29*$D$23*B71*1000</f>
        <v>119041.78532102998</v>
      </c>
      <c r="H71" s="114">
        <f>'ESTIMACIÓN DEM. DE ENERGÍA'!G5*$D$29*$D$26*B71*1000</f>
        <v>156577.37923713605</v>
      </c>
      <c r="I71" s="120">
        <f>SUM(C71:H71)</f>
        <v>1350390.7551915662</v>
      </c>
    </row>
    <row r="72" spans="1:9">
      <c r="A72" s="424">
        <v>2018</v>
      </c>
      <c r="B72" s="311">
        <v>1</v>
      </c>
      <c r="C72" s="432">
        <f t="shared" si="2"/>
        <v>19133.400000000001</v>
      </c>
      <c r="D72" s="432">
        <f>EGRESOS!$D$9*'ESTIMACIÓN DEM. DE POT MAXIMA'!D8*12*EGRESOS!B72*1000</f>
        <v>253403.50464</v>
      </c>
      <c r="E72" s="432">
        <f>EGRESOS!$D$12*'ESTIMACIÓN DEM. DE POT MAXIMA'!E8*12*EGRESOS!B72*1000</f>
        <v>225400.03199999998</v>
      </c>
      <c r="F72" s="114">
        <f>'ESTIMACIÓN DEM. DE ENERGÍA'!F6*$D$20*B72*1000</f>
        <v>619060.18161873613</v>
      </c>
      <c r="G72" s="114">
        <f>'ESTIMACIÓN DEM. DE ENERGÍA'!E6*$D$29*$D$23*B72*1000</f>
        <v>123803.45673387118</v>
      </c>
      <c r="H72" s="114">
        <f>'ESTIMACIÓN DEM. DE ENERGÍA'!G6*$D$29*$D$26*B72*1000</f>
        <v>162840.47440662151</v>
      </c>
      <c r="I72" s="120">
        <f>SUM(C72:H72)</f>
        <v>1403641.0493992288</v>
      </c>
    </row>
    <row r="73" spans="1:9">
      <c r="A73" s="424">
        <v>2019</v>
      </c>
      <c r="B73" s="311">
        <v>1</v>
      </c>
      <c r="C73" s="432">
        <f t="shared" si="2"/>
        <v>19133.400000000001</v>
      </c>
      <c r="D73" s="432">
        <f>EGRESOS!$D$9*'ESTIMACIÓN DEM. DE POT MAXIMA'!D9*12*EGRESOS!B73*1000</f>
        <v>263539.64482559997</v>
      </c>
      <c r="E73" s="432">
        <f>EGRESOS!$D$12*'ESTIMACIÓN DEM. DE POT MAXIMA'!E9*12*EGRESOS!B73*1000</f>
        <v>234416.03327999997</v>
      </c>
      <c r="F73" s="114">
        <f>'ESTIMACIÓN DEM. DE ENERGÍA'!F7*$D$20*B73*1000</f>
        <v>643822.58888348553</v>
      </c>
      <c r="G73" s="114">
        <f>'ESTIMACIÓN DEM. DE ENERGÍA'!E7*$D$29*$D$23*B73*1000</f>
        <v>128755.595003226</v>
      </c>
      <c r="H73" s="114">
        <f>'ESTIMACIÓN DEM. DE ENERGÍA'!G7*$D$29*$D$26*B73*1000</f>
        <v>169354.09338288635</v>
      </c>
      <c r="I73" s="120">
        <f t="shared" ref="I73:I101" si="3">SUM(C73:H73)</f>
        <v>1459021.3553751979</v>
      </c>
    </row>
    <row r="74" spans="1:9">
      <c r="A74" s="424">
        <v>2020</v>
      </c>
      <c r="B74" s="311">
        <v>1</v>
      </c>
      <c r="C74" s="432">
        <f t="shared" si="2"/>
        <v>19133.400000000001</v>
      </c>
      <c r="D74" s="432">
        <f>EGRESOS!$D$9*'ESTIMACIÓN DEM. DE POT MAXIMA'!D10*12*EGRESOS!B74*1000</f>
        <v>274081.23061862396</v>
      </c>
      <c r="E74" s="432">
        <f>EGRESOS!$D$12*'ESTIMACIÓN DEM. DE POT MAXIMA'!E10*12*EGRESOS!B74*1000</f>
        <v>243792.6746112</v>
      </c>
      <c r="F74" s="114">
        <f>'ESTIMACIÓN DEM. DE ENERGÍA'!F8*$D$20*B74*1000</f>
        <v>669575.49243882496</v>
      </c>
      <c r="G74" s="114">
        <f>'ESTIMACIÓN DEM. DE ENERGÍA'!E8*$D$29*$D$23*B74*1000</f>
        <v>133905.81880335507</v>
      </c>
      <c r="H74" s="114">
        <f>'ESTIMACIÓN DEM. DE ENERGÍA'!G8*$D$29*$D$26*B74*1000</f>
        <v>176128.25711820181</v>
      </c>
      <c r="I74" s="120">
        <f t="shared" si="3"/>
        <v>1516616.8735902058</v>
      </c>
    </row>
    <row r="75" spans="1:9">
      <c r="A75" s="424">
        <v>2021</v>
      </c>
      <c r="B75" s="311">
        <v>1</v>
      </c>
      <c r="C75" s="432">
        <f t="shared" si="2"/>
        <v>19133.400000000001</v>
      </c>
      <c r="D75" s="432">
        <f>EGRESOS!$D$9*'ESTIMACIÓN DEM. DE POT MAXIMA'!D11*12*EGRESOS!B75*1000</f>
        <v>285044.47984336899</v>
      </c>
      <c r="E75" s="432">
        <f>EGRESOS!$D$12*'ESTIMACIÓN DEM. DE POT MAXIMA'!E11*12*EGRESOS!B75*1000</f>
        <v>253544.38159564801</v>
      </c>
      <c r="F75" s="114">
        <f>'ESTIMACIÓN DEM. DE ENERGÍA'!F9*$D$20*B75*1000</f>
        <v>696358.51213637798</v>
      </c>
      <c r="G75" s="114">
        <f>'ESTIMACIÓN DEM. DE ENERGÍA'!E9*$D$29*$D$23*B75*1000</f>
        <v>139262.05155548925</v>
      </c>
      <c r="H75" s="114">
        <f>'ESTIMACIÓN DEM. DE ENERGÍA'!G9*$D$29*$D$26*B75*1000</f>
        <v>183173.38740292989</v>
      </c>
      <c r="I75" s="120">
        <f t="shared" si="3"/>
        <v>1576516.2125338139</v>
      </c>
    </row>
    <row r="76" spans="1:9">
      <c r="A76" s="424">
        <v>2022</v>
      </c>
      <c r="B76" s="311">
        <v>1</v>
      </c>
      <c r="C76" s="432">
        <f t="shared" si="2"/>
        <v>19133.400000000001</v>
      </c>
      <c r="D76" s="432">
        <f>EGRESOS!$D$9*'ESTIMACIÓN DEM. DE POT MAXIMA'!D12*12*EGRESOS!B76*1000</f>
        <v>296446.25903710374</v>
      </c>
      <c r="E76" s="432">
        <f>EGRESOS!$D$12*'ESTIMACIÓN DEM. DE POT MAXIMA'!E12*12*EGRESOS!B76*1000</f>
        <v>263686.15685947397</v>
      </c>
      <c r="F76" s="114">
        <f>'ESTIMACIÓN DEM. DE ENERGÍA'!F10*$D$20*B76*1000</f>
        <v>724212.85262183298</v>
      </c>
      <c r="G76" s="114">
        <f>'ESTIMACIÓN DEM. DE ENERGÍA'!E10*$D$29*$D$23*B76*1000</f>
        <v>144832.53361770883</v>
      </c>
      <c r="H76" s="114">
        <f>'ESTIMACIÓN DEM. DE ENERGÍA'!G10*$D$29*$D$26*B76*1000</f>
        <v>190500.32289904708</v>
      </c>
      <c r="I76" s="120">
        <f t="shared" si="3"/>
        <v>1638811.5250351664</v>
      </c>
    </row>
    <row r="77" spans="1:9">
      <c r="A77" s="424">
        <v>2023</v>
      </c>
      <c r="B77" s="311">
        <v>1</v>
      </c>
      <c r="C77" s="432">
        <f t="shared" si="2"/>
        <v>19133.400000000001</v>
      </c>
      <c r="D77" s="432">
        <f>EGRESOS!$D$9*'ESTIMACIÓN DEM. DE POT MAXIMA'!D13*12*EGRESOS!B77*1000</f>
        <v>308304.1093985879</v>
      </c>
      <c r="E77" s="432">
        <f>EGRESOS!$D$12*'ESTIMACIÓN DEM. DE POT MAXIMA'!E13*12*EGRESOS!B77*1000</f>
        <v>274233.60313385288</v>
      </c>
      <c r="F77" s="114">
        <f>'ESTIMACIÓN DEM. DE ENERGÍA'!F11*$D$20*B77*1000</f>
        <v>753181.36672670639</v>
      </c>
      <c r="G77" s="114">
        <f>'ESTIMACIÓN DEM. DE ENERGÍA'!E11*$D$29*$D$23*B77*1000</f>
        <v>150625.83496241717</v>
      </c>
      <c r="H77" s="114">
        <f>'ESTIMACIÓN DEM. DE ENERGÍA'!G11*$D$29*$D$26*B77*1000</f>
        <v>198120.33581500896</v>
      </c>
      <c r="I77" s="120">
        <f t="shared" si="3"/>
        <v>1703598.6500365734</v>
      </c>
    </row>
    <row r="78" spans="1:9">
      <c r="A78" s="424">
        <v>2024</v>
      </c>
      <c r="B78" s="311">
        <v>1</v>
      </c>
      <c r="C78" s="432">
        <f t="shared" si="2"/>
        <v>19133.400000000001</v>
      </c>
      <c r="D78" s="432">
        <f>EGRESOS!$D$9*'ESTIMACIÓN DEM. DE POT MAXIMA'!D14*12*EGRESOS!B78*1000</f>
        <v>320636.27377453138</v>
      </c>
      <c r="E78" s="432">
        <f>EGRESOS!$D$12*'ESTIMACIÓN DEM. DE POT MAXIMA'!E14*12*EGRESOS!B78*1000</f>
        <v>285202.94725920702</v>
      </c>
      <c r="F78" s="114">
        <f>'ESTIMACIÓN DEM. DE ENERGÍA'!F12*$D$20*B78*1000</f>
        <v>783308.62139577465</v>
      </c>
      <c r="G78" s="114">
        <f>'ESTIMACIÓN DEM. DE ENERGÍA'!E12*$D$29*$D$23*B78*1000</f>
        <v>156650.86836091388</v>
      </c>
      <c r="H78" s="114">
        <f>'ESTIMACIÓN DEM. DE ENERGÍA'!G12*$D$29*$D$26*B78*1000</f>
        <v>206045.14924760931</v>
      </c>
      <c r="I78" s="120">
        <f t="shared" si="3"/>
        <v>1770977.2600380362</v>
      </c>
    </row>
    <row r="79" spans="1:9">
      <c r="A79" s="424">
        <v>2025</v>
      </c>
      <c r="B79" s="311">
        <v>1</v>
      </c>
      <c r="C79" s="432">
        <f t="shared" si="2"/>
        <v>19133.400000000001</v>
      </c>
      <c r="D79" s="432">
        <f>EGRESOS!$D$9*'ESTIMACIÓN DEM. DE POT MAXIMA'!D15*12*EGRESOS!B79*1000</f>
        <v>333461.72472551261</v>
      </c>
      <c r="E79" s="432">
        <f>EGRESOS!$D$12*'ESTIMACIÓN DEM. DE POT MAXIMA'!E15*12*EGRESOS!B79*1000</f>
        <v>296611.0651495753</v>
      </c>
      <c r="F79" s="114">
        <f>'ESTIMACIÓN DEM. DE ENERGÍA'!F13*$D$20*B79*1000</f>
        <v>814640.96625160566</v>
      </c>
      <c r="G79" s="114">
        <f>'ESTIMACIÓN DEM. DE ENERGÍA'!E13*$D$29*$D$23*B79*1000</f>
        <v>162916.90309535043</v>
      </c>
      <c r="H79" s="114">
        <f>'ESTIMACIÓN DEM. DE ENERGÍA'!G13*$D$29*$D$26*B79*1000</f>
        <v>214286.95521751369</v>
      </c>
      <c r="I79" s="120">
        <f t="shared" si="3"/>
        <v>1841051.0144395577</v>
      </c>
    </row>
    <row r="80" spans="1:9">
      <c r="A80" s="424">
        <v>2026</v>
      </c>
      <c r="B80" s="311">
        <v>1</v>
      </c>
      <c r="C80" s="432">
        <f t="shared" si="2"/>
        <v>19133.400000000001</v>
      </c>
      <c r="D80" s="432">
        <f>EGRESOS!$D$9*'ESTIMACIÓN DEM. DE POT MAXIMA'!D16*12*EGRESOS!B80*1000</f>
        <v>346800.19371453312</v>
      </c>
      <c r="E80" s="432">
        <f>EGRESOS!$D$12*'ESTIMACIÓN DEM. DE POT MAXIMA'!E16*12*EGRESOS!B80*1000</f>
        <v>308475.5077555583</v>
      </c>
      <c r="F80" s="114">
        <f>'ESTIMACIÓN DEM. DE ENERGÍA'!F14*$D$20*B80*1000</f>
        <v>847226.60490166978</v>
      </c>
      <c r="G80" s="114">
        <f>'ESTIMACIÓN DEM. DE ENERGÍA'!E14*$D$29*$D$23*B80*1000</f>
        <v>169433.57921916444</v>
      </c>
      <c r="H80" s="114">
        <f>'ESTIMACIÓN DEM. DE ENERGÍA'!G14*$D$29*$D$26*B80*1000</f>
        <v>222858.43342621421</v>
      </c>
      <c r="I80" s="120">
        <f t="shared" si="3"/>
        <v>1913927.7190171399</v>
      </c>
    </row>
    <row r="81" spans="1:9">
      <c r="A81" s="424">
        <v>2027</v>
      </c>
      <c r="B81" s="311">
        <v>1</v>
      </c>
      <c r="C81" s="432">
        <f t="shared" si="2"/>
        <v>19133.400000000001</v>
      </c>
      <c r="D81" s="432">
        <f>EGRESOS!$D$9*'ESTIMACIÓN DEM. DE POT MAXIMA'!D17*12*EGRESOS!B81*1000</f>
        <v>360672.20146311447</v>
      </c>
      <c r="E81" s="432">
        <f>EGRESOS!$D$12*'ESTIMACIÓN DEM. DE POT MAXIMA'!E17*12*EGRESOS!B81*1000</f>
        <v>320814.52806578064</v>
      </c>
      <c r="F81" s="114">
        <f>'ESTIMACIÓN DEM. DE ENERGÍA'!F15*$D$20*B81*1000</f>
        <v>881115.66909773648</v>
      </c>
      <c r="G81" s="114">
        <f>'ESTIMACIÓN DEM. DE ENERGÍA'!E15*$D$29*$D$23*B81*1000</f>
        <v>176210.92238793106</v>
      </c>
      <c r="H81" s="114">
        <f>'ESTIMACIÓN DEM. DE ENERGÍA'!G15*$D$29*$D$26*B81*1000</f>
        <v>231772.77076326276</v>
      </c>
      <c r="I81" s="120">
        <f t="shared" si="3"/>
        <v>1989719.4917778252</v>
      </c>
    </row>
    <row r="82" spans="1:9">
      <c r="A82" s="424">
        <v>2028</v>
      </c>
      <c r="B82" s="311">
        <v>1</v>
      </c>
      <c r="C82" s="432">
        <f t="shared" si="2"/>
        <v>19133.400000000001</v>
      </c>
      <c r="D82" s="432">
        <f>EGRESOS!$D$9*'ESTIMACIÓN DEM. DE POT MAXIMA'!D18*12*EGRESOS!B82*1000</f>
        <v>375099.08952163905</v>
      </c>
      <c r="E82" s="432">
        <f>EGRESOS!$D$12*'ESTIMACIÓN DEM. DE POT MAXIMA'!E18*12*EGRESOS!B82*1000</f>
        <v>333647.10918841191</v>
      </c>
      <c r="F82" s="114">
        <f>'ESTIMACIÓN DEM. DE ENERGÍA'!F16*$D$20*B82*1000</f>
        <v>916360.29586164607</v>
      </c>
      <c r="G82" s="114">
        <f>'ESTIMACIÓN DEM. DE ENERGÍA'!E16*$D$29*$D$23*B82*1000</f>
        <v>183259.35928344828</v>
      </c>
      <c r="H82" s="114">
        <f>'ESTIMACIÓN DEM. DE ENERGÍA'!G16*$D$29*$D$26*B82*1000</f>
        <v>241043.68159379327</v>
      </c>
      <c r="I82" s="120">
        <f t="shared" si="3"/>
        <v>2068542.9354489385</v>
      </c>
    </row>
    <row r="83" spans="1:9">
      <c r="A83" s="424">
        <v>2029</v>
      </c>
      <c r="B83" s="311">
        <v>1</v>
      </c>
      <c r="C83" s="432">
        <f t="shared" si="2"/>
        <v>19133.400000000001</v>
      </c>
      <c r="D83" s="432">
        <f>EGRESOS!$D$9*'ESTIMACIÓN DEM. DE POT MAXIMA'!D19*12*EGRESOS!B83*1000</f>
        <v>390103.05310250458</v>
      </c>
      <c r="E83" s="432">
        <f>EGRESOS!$D$12*'ESTIMACIÓN DEM. DE POT MAXIMA'!E19*12*EGRESOS!B83*1000</f>
        <v>346992.99355594837</v>
      </c>
      <c r="F83" s="114">
        <f>'ESTIMACIÓN DEM. DE ENERGÍA'!F17*$D$20*B83*1000</f>
        <v>953014.70769611187</v>
      </c>
      <c r="G83" s="114">
        <f>'ESTIMACIÓN DEM. DE ENERGÍA'!E17*$D$29*$D$23*B83*1000</f>
        <v>190589.73365478622</v>
      </c>
      <c r="H83" s="114">
        <f>'ESTIMACIÓN DEM. DE ENERGÍA'!G17*$D$29*$D$26*B83*1000</f>
        <v>250685.42885754499</v>
      </c>
      <c r="I83" s="120">
        <f t="shared" si="3"/>
        <v>2150519.3168668961</v>
      </c>
    </row>
    <row r="84" spans="1:9">
      <c r="A84" s="424">
        <v>2030</v>
      </c>
      <c r="B84" s="311">
        <v>1</v>
      </c>
      <c r="C84" s="432">
        <f t="shared" si="2"/>
        <v>19133.400000000001</v>
      </c>
      <c r="D84" s="432">
        <f>EGRESOS!$D$9*'ESTIMACIÓN DEM. DE POT MAXIMA'!D20*12*EGRESOS!B84*1000</f>
        <v>405707.1752266048</v>
      </c>
      <c r="E84" s="432">
        <f>EGRESOS!$D$12*'ESTIMACIÓN DEM. DE POT MAXIMA'!E20*12*EGRESOS!B84*1000</f>
        <v>360872.71329818631</v>
      </c>
      <c r="F84" s="114">
        <f>'ESTIMACIÓN DEM. DE ENERGÍA'!F18*$D$20*B84*1000</f>
        <v>991135.29600395635</v>
      </c>
      <c r="G84" s="114">
        <f>'ESTIMACIÓN DEM. DE ENERGÍA'!E18*$D$29*$D$23*B84*1000</f>
        <v>198213.32300097769</v>
      </c>
      <c r="H84" s="114">
        <f>'ESTIMACIÓN DEM. DE ENERGÍA'!G18*$D$29*$D$26*B84*1000</f>
        <v>260712.84601184682</v>
      </c>
      <c r="I84" s="120">
        <f t="shared" si="3"/>
        <v>2235774.753541572</v>
      </c>
    </row>
    <row r="85" spans="1:9">
      <c r="A85" s="424">
        <v>2031</v>
      </c>
      <c r="B85" s="311">
        <v>1</v>
      </c>
      <c r="C85" s="432">
        <f t="shared" si="2"/>
        <v>19133.400000000001</v>
      </c>
      <c r="D85" s="432">
        <f>EGRESOS!$D$9*'ESTIMACIÓN DEM. DE POT MAXIMA'!D21*12*EGRESOS!B85*1000</f>
        <v>421935.46223566902</v>
      </c>
      <c r="E85" s="432">
        <f>EGRESOS!$D$12*'ESTIMACIÓN DEM. DE POT MAXIMA'!E21*12*EGRESOS!B85*1000</f>
        <v>375307.62183011376</v>
      </c>
      <c r="F85" s="114">
        <f>'ESTIMACIÓN DEM. DE ENERGÍA'!F19*$D$20*B85*1000</f>
        <v>1030780.7078441146</v>
      </c>
      <c r="G85" s="114">
        <f>'ESTIMACIÓN DEM. DE ENERGÍA'!E19*$D$29*$D$23*B85*1000</f>
        <v>206141.85592101677</v>
      </c>
      <c r="H85" s="114">
        <f>'ESTIMACIÓN DEM. DE ENERGÍA'!G19*$D$29*$D$26*B85*1000</f>
        <v>271141.35985232063</v>
      </c>
      <c r="I85" s="120">
        <f t="shared" si="3"/>
        <v>2324440.4076832347</v>
      </c>
    </row>
    <row r="86" spans="1:9">
      <c r="A86" s="424">
        <v>2032</v>
      </c>
      <c r="B86" s="311">
        <v>1</v>
      </c>
      <c r="C86" s="432">
        <f t="shared" si="2"/>
        <v>19133.400000000001</v>
      </c>
      <c r="D86" s="432">
        <f>EGRESOS!$D$9*'ESTIMACIÓN DEM. DE POT MAXIMA'!D22*12*EGRESOS!B86*1000</f>
        <v>438812.88072509575</v>
      </c>
      <c r="E86" s="432">
        <f>EGRESOS!$D$12*'ESTIMACIÓN DEM. DE POT MAXIMA'!E22*12*EGRESOS!B86*1000</f>
        <v>390319.92670331837</v>
      </c>
      <c r="F86" s="114">
        <f>'ESTIMACIÓN DEM. DE ENERGÍA'!F20*$D$20*B86*1000</f>
        <v>1072011.9361578792</v>
      </c>
      <c r="G86" s="114">
        <f>'ESTIMACIÓN DEM. DE ENERGÍA'!E20*$D$29*$D$23*B86*1000</f>
        <v>214387.53015785743</v>
      </c>
      <c r="H86" s="114">
        <f>'ESTIMACIÓN DEM. DE ENERGÍA'!G20*$D$29*$D$26*B86*1000</f>
        <v>281987.01424641354</v>
      </c>
      <c r="I86" s="120">
        <f t="shared" si="3"/>
        <v>2416652.6879905644</v>
      </c>
    </row>
    <row r="87" spans="1:9">
      <c r="A87" s="424">
        <v>2033</v>
      </c>
      <c r="B87" s="311">
        <v>1</v>
      </c>
      <c r="C87" s="432">
        <f t="shared" si="2"/>
        <v>19133.400000000001</v>
      </c>
      <c r="D87" s="432">
        <f>EGRESOS!$D$9*'ESTIMACIÓN DEM. DE POT MAXIMA'!D23*12*EGRESOS!B87*1000</f>
        <v>456365.3959540996</v>
      </c>
      <c r="E87" s="432">
        <f>EGRESOS!$D$12*'ESTIMACIÓN DEM. DE POT MAXIMA'!E23*12*EGRESOS!B87*1000</f>
        <v>405932.72377145104</v>
      </c>
      <c r="F87" s="114">
        <f>'ESTIMACIÓN DEM. DE ENERGÍA'!F21*$D$20*B87*1000</f>
        <v>1114892.4136041945</v>
      </c>
      <c r="G87" s="114">
        <f>'ESTIMACIÓN DEM. DE ENERGÍA'!E21*$D$29*$D$23*B87*1000</f>
        <v>222963.03136417171</v>
      </c>
      <c r="H87" s="114">
        <f>'ESTIMACIÓN DEM. DE ENERGÍA'!G21*$D$29*$D$26*B87*1000</f>
        <v>293266.49481627007</v>
      </c>
      <c r="I87" s="120">
        <f t="shared" si="3"/>
        <v>2512553.4595101872</v>
      </c>
    </row>
    <row r="88" spans="1:9">
      <c r="A88" s="424">
        <v>2034</v>
      </c>
      <c r="B88" s="311">
        <v>1</v>
      </c>
      <c r="C88" s="432">
        <f t="shared" si="2"/>
        <v>19133.400000000001</v>
      </c>
      <c r="D88" s="432">
        <f>EGRESOS!$D$9*'ESTIMACIÓN DEM. DE POT MAXIMA'!D24*12*EGRESOS!B88*1000</f>
        <v>474620.01179226366</v>
      </c>
      <c r="E88" s="432">
        <f>EGRESOS!$D$12*'ESTIMACIÓN DEM. DE POT MAXIMA'!E24*12*EGRESOS!B88*1000</f>
        <v>422170.03272230906</v>
      </c>
      <c r="F88" s="114">
        <f>'ESTIMACIÓN DEM. DE ENERGÍA'!F22*$D$20*B88*1000</f>
        <v>1159488.1101483623</v>
      </c>
      <c r="G88" s="114">
        <f>'ESTIMACIÓN DEM. DE ENERGÍA'!E22*$D$29*$D$23*B88*1000</f>
        <v>231881.55261873855</v>
      </c>
      <c r="H88" s="114">
        <f>'ESTIMACIÓN DEM. DE ENERGÍA'!G22*$D$29*$D$26*B88*1000</f>
        <v>304997.15460892086</v>
      </c>
      <c r="I88" s="120">
        <f t="shared" si="3"/>
        <v>2612290.2618905944</v>
      </c>
    </row>
    <row r="89" spans="1:9">
      <c r="A89" s="424">
        <v>2035</v>
      </c>
      <c r="B89" s="311">
        <v>1</v>
      </c>
      <c r="C89" s="432">
        <f t="shared" si="2"/>
        <v>19133.400000000001</v>
      </c>
      <c r="D89" s="432">
        <f>EGRESOS!$D$9*'ESTIMACIÓN DEM. DE POT MAXIMA'!D25*12*EGRESOS!B89*1000</f>
        <v>493604.81226395408</v>
      </c>
      <c r="E89" s="432">
        <f>EGRESOS!$D$12*'ESTIMACIÓN DEM. DE POT MAXIMA'!E25*12*EGRESOS!B89*1000</f>
        <v>439056.83403120132</v>
      </c>
      <c r="F89" s="114">
        <f>'ESTIMACIÓN DEM. DE ENERGÍA'!F23*$D$20*B89*1000</f>
        <v>1205867.6345542967</v>
      </c>
      <c r="G89" s="114">
        <f>'ESTIMACIÓN DEM. DE ENERGÍA'!E23*$D$29*$D$23*B89*1000</f>
        <v>241156.81472348809</v>
      </c>
      <c r="H89" s="114">
        <f>'ESTIMACIÓN DEM. DE ENERGÍA'!G23*$D$29*$D$26*B89*1000</f>
        <v>317197.04079327767</v>
      </c>
      <c r="I89" s="120">
        <f t="shared" si="3"/>
        <v>2716016.5363662178</v>
      </c>
    </row>
    <row r="90" spans="1:9">
      <c r="A90" s="424">
        <v>2036</v>
      </c>
      <c r="B90" s="311">
        <v>1</v>
      </c>
      <c r="C90" s="432">
        <f t="shared" si="2"/>
        <v>19133.400000000001</v>
      </c>
      <c r="D90" s="432">
        <f>EGRESOS!$D$9*'ESTIMACIÓN DEM. DE POT MAXIMA'!D26*12*EGRESOS!B90*1000</f>
        <v>513349.00475451228</v>
      </c>
      <c r="E90" s="432">
        <f>EGRESOS!$D$12*'ESTIMACIÓN DEM. DE POT MAXIMA'!E26*12*EGRESOS!B90*1000</f>
        <v>456619.10739244946</v>
      </c>
      <c r="F90" s="114">
        <f>'ESTIMACIÓN DEM. DE ENERGÍA'!F24*$D$20*B90*1000</f>
        <v>1254102.3399364685</v>
      </c>
      <c r="G90" s="114">
        <f>'ESTIMACIÓN DEM. DE ENERGÍA'!E24*$D$29*$D$23*B90*1000</f>
        <v>250803.08731242764</v>
      </c>
      <c r="H90" s="114">
        <f>'ESTIMACIÓN DEM. DE ENERGÍA'!G24*$D$29*$D$26*B90*1000</f>
        <v>329884.92242500884</v>
      </c>
      <c r="I90" s="120">
        <f t="shared" si="3"/>
        <v>2823891.8618208668</v>
      </c>
    </row>
    <row r="91" spans="1:9">
      <c r="A91" s="424">
        <v>2037</v>
      </c>
      <c r="B91" s="311">
        <v>1</v>
      </c>
      <c r="C91" s="432">
        <f>+$D$5*12*B91</f>
        <v>19133.400000000001</v>
      </c>
      <c r="D91" s="432">
        <f>EGRESOS!$D$9*'ESTIMACIÓN DEM. DE POT MAXIMA'!D27*12*EGRESOS!B91*1000</f>
        <v>533882.96494469268</v>
      </c>
      <c r="E91" s="432">
        <f>EGRESOS!$D$12*'ESTIMACIÓN DEM. DE POT MAXIMA'!E27*12*EGRESOS!B91*1000</f>
        <v>474883.87168814742</v>
      </c>
      <c r="F91" s="114">
        <f>'ESTIMACIÓN DEM. DE ENERGÍA'!F25*$D$20*B91*1000</f>
        <v>1304266.4335339274</v>
      </c>
      <c r="G91" s="114">
        <f>'ESTIMACIÓN DEM. DE ENERGÍA'!E25*$D$29*$D$23*B91*1000</f>
        <v>260835.21080492472</v>
      </c>
      <c r="H91" s="114">
        <f>'ESTIMACIÓN DEM. DE ENERGÍA'!G25*$D$29*$D$26*B91*1000</f>
        <v>343080.31932200911</v>
      </c>
      <c r="I91" s="120">
        <f t="shared" si="3"/>
        <v>2936082.2002937016</v>
      </c>
    </row>
    <row r="92" spans="1:9">
      <c r="A92" s="424">
        <v>2038</v>
      </c>
      <c r="B92" s="311">
        <v>1</v>
      </c>
      <c r="C92" s="432">
        <f t="shared" si="2"/>
        <v>19133.400000000001</v>
      </c>
      <c r="D92" s="432">
        <f>EGRESOS!$D$9*'ESTIMACIÓN DEM. DE POT MAXIMA'!D28*12*EGRESOS!B92*1000</f>
        <v>555238.28354248055</v>
      </c>
      <c r="E92" s="432">
        <f>EGRESOS!$D$12*'ESTIMACIÓN DEM. DE POT MAXIMA'!E28*12*EGRESOS!B92*1000</f>
        <v>493879.22655567329</v>
      </c>
      <c r="F92" s="114">
        <f>'ESTIMACIÓN DEM. DE ENERGÍA'!F26*$D$20*B92*1000</f>
        <v>1356437.0908752847</v>
      </c>
      <c r="G92" s="114">
        <f>'ESTIMACIÓN DEM. DE ENERGÍA'!E26*$D$29*$D$23*B92*1000</f>
        <v>271268.61923712172</v>
      </c>
      <c r="H92" s="114">
        <f>'ESTIMACIÓN DEM. DE ENERGÍA'!G26*$D$29*$D$26*B92*1000</f>
        <v>356803.53209488955</v>
      </c>
      <c r="I92" s="120">
        <f t="shared" si="3"/>
        <v>3052760.1523054503</v>
      </c>
    </row>
    <row r="93" spans="1:9">
      <c r="A93" s="424">
        <v>2039</v>
      </c>
      <c r="B93" s="311">
        <v>1</v>
      </c>
      <c r="C93" s="432">
        <f t="shared" si="2"/>
        <v>19133.400000000001</v>
      </c>
      <c r="D93" s="432">
        <f>EGRESOS!$D$9*'ESTIMACIÓN DEM. DE POT MAXIMA'!D29*12*EGRESOS!B93*1000</f>
        <v>577447.81488417962</v>
      </c>
      <c r="E93" s="432">
        <f>EGRESOS!$D$12*'ESTIMACIÓN DEM. DE POT MAXIMA'!E29*12*EGRESOS!B93*1000</f>
        <v>513634.3956179003</v>
      </c>
      <c r="F93" s="114">
        <f>'ESTIMACIÓN DEM. DE ENERGÍA'!F27*$D$20*B93*1000</f>
        <v>1410694.5745102959</v>
      </c>
      <c r="G93" s="114">
        <f>'ESTIMACIÓN DEM. DE ENERGÍA'!E27*$D$29*$D$23*B93*1000</f>
        <v>282119.36400660657</v>
      </c>
      <c r="H93" s="114">
        <f>'ESTIMACIÓN DEM. DE ENERGÍA'!G27*$D$29*$D$26*B93*1000</f>
        <v>371075.67337868508</v>
      </c>
      <c r="I93" s="120">
        <f t="shared" si="3"/>
        <v>3174105.2223976674</v>
      </c>
    </row>
    <row r="94" spans="1:9">
      <c r="A94" s="424">
        <v>2040</v>
      </c>
      <c r="B94" s="311">
        <v>1</v>
      </c>
      <c r="C94" s="432">
        <f t="shared" si="2"/>
        <v>19133.400000000001</v>
      </c>
      <c r="D94" s="432">
        <f>EGRESOS!$D$9*'ESTIMACIÓN DEM. DE POT MAXIMA'!D30*12*EGRESOS!B94*1000</f>
        <v>600545.72747954691</v>
      </c>
      <c r="E94" s="432">
        <f>EGRESOS!$D$12*'ESTIMACIÓN DEM. DE POT MAXIMA'!E30*12*EGRESOS!B94*1000</f>
        <v>534179.77144261624</v>
      </c>
      <c r="F94" s="114">
        <f>'ESTIMACIÓN DEM. DE ENERGÍA'!F28*$D$20*B94*1000</f>
        <v>1467122.3574907079</v>
      </c>
      <c r="G94" s="114">
        <f>'ESTIMACIÓN DEM. DE ENERGÍA'!E28*$D$29*$D$23*B94*1000</f>
        <v>293404.13856687082</v>
      </c>
      <c r="H94" s="114">
        <f>'ESTIMACIÓN DEM. DE ENERGÍA'!G28*$D$29*$D$26*B94*1000</f>
        <v>385918.70031383249</v>
      </c>
      <c r="I94" s="120">
        <f t="shared" si="3"/>
        <v>3300304.0952935745</v>
      </c>
    </row>
    <row r="95" spans="1:9">
      <c r="A95" s="424">
        <v>2041</v>
      </c>
      <c r="B95" s="311">
        <v>1</v>
      </c>
      <c r="C95" s="432">
        <f t="shared" si="2"/>
        <v>19133.400000000001</v>
      </c>
      <c r="D95" s="432">
        <f>EGRESOS!$D$9*'ESTIMACIÓN DEM. DE POT MAXIMA'!D31*12*EGRESOS!B95*1000</f>
        <v>624567.55657872884</v>
      </c>
      <c r="E95" s="432">
        <f>EGRESOS!$D$12*'ESTIMACIÓN DEM. DE POT MAXIMA'!E31*12*EGRESOS!B95*1000</f>
        <v>555546.96230032097</v>
      </c>
      <c r="F95" s="114">
        <f>'ESTIMACIÓN DEM. DE ENERGÍA'!F29*$D$20*B95*1000</f>
        <v>1525807.2517903361</v>
      </c>
      <c r="G95" s="114">
        <f>'ESTIMACIÓN DEM. DE ENERGÍA'!E29*$D$29*$D$23*B95*1000</f>
        <v>305140.30410954566</v>
      </c>
      <c r="H95" s="114">
        <f>'ESTIMACIÓN DEM. DE ENERGÍA'!G29*$D$29*$D$26*B95*1000</f>
        <v>401355.44832638581</v>
      </c>
      <c r="I95" s="120">
        <f t="shared" si="3"/>
        <v>3431550.9231053172</v>
      </c>
    </row>
    <row r="96" spans="1:9">
      <c r="A96" s="424">
        <v>2042</v>
      </c>
      <c r="B96" s="311">
        <v>1</v>
      </c>
      <c r="C96" s="432">
        <f t="shared" si="2"/>
        <v>19133.400000000001</v>
      </c>
      <c r="D96" s="432">
        <f>EGRESOS!$D$9*'ESTIMACIÓN DEM. DE POT MAXIMA'!D32*12*EGRESOS!B96*1000</f>
        <v>649550.25884187792</v>
      </c>
      <c r="E96" s="432">
        <f>EGRESOS!$D$12*'ESTIMACIÓN DEM. DE POT MAXIMA'!E32*12*EGRESOS!B96*1000</f>
        <v>577768.84079233382</v>
      </c>
      <c r="F96" s="114">
        <f>'ESTIMACIÓN DEM. DE ENERGÍA'!F30*$D$20*B96*1000</f>
        <v>1586839.5418619497</v>
      </c>
      <c r="G96" s="114">
        <f>'ESTIMACIÓN DEM. DE ENERGÍA'!E30*$D$29*$D$23*B96*1000</f>
        <v>317345.91627392749</v>
      </c>
      <c r="H96" s="114">
        <f>'ESTIMACIÓN DEM. DE ENERGÍA'!G30*$D$29*$D$26*B96*1000</f>
        <v>417409.66625944123</v>
      </c>
      <c r="I96" s="120">
        <f t="shared" si="3"/>
        <v>3568047.6240295297</v>
      </c>
    </row>
    <row r="97" spans="1:9">
      <c r="A97" s="424">
        <v>2043</v>
      </c>
      <c r="B97" s="311">
        <v>1</v>
      </c>
      <c r="C97" s="432">
        <f t="shared" si="2"/>
        <v>19133.400000000001</v>
      </c>
      <c r="D97" s="432">
        <f>EGRESOS!$D$9*'ESTIMACIÓN DEM. DE POT MAXIMA'!D33*12*EGRESOS!B97*1000</f>
        <v>675532.26919555315</v>
      </c>
      <c r="E97" s="432">
        <f>EGRESOS!$D$12*'ESTIMACIÓN DEM. DE POT MAXIMA'!E33*12*EGRESOS!B97*1000</f>
        <v>600879.59442402713</v>
      </c>
      <c r="F97" s="114">
        <f>'ESTIMACIÓN DEM. DE ENERGÍA'!F31*$D$20*B97*1000</f>
        <v>1650313.1235364275</v>
      </c>
      <c r="G97" s="114">
        <f>'ESTIMACIÓN DEM. DE ENERGÍA'!E31*$D$29*$D$23*B97*1000</f>
        <v>330039.75292488455</v>
      </c>
      <c r="H97" s="114">
        <f>'ESTIMACIÓN DEM. DE ENERGÍA'!G31*$D$29*$D$26*B97*1000</f>
        <v>434106.05290981889</v>
      </c>
      <c r="I97" s="120">
        <f t="shared" si="3"/>
        <v>3710004.1929907114</v>
      </c>
    </row>
    <row r="98" spans="1:9">
      <c r="A98" s="424">
        <v>2044</v>
      </c>
      <c r="B98" s="311">
        <v>1</v>
      </c>
      <c r="C98" s="432">
        <f t="shared" si="2"/>
        <v>19133.400000000001</v>
      </c>
      <c r="D98" s="432">
        <f>EGRESOS!$D$9*'ESTIMACIÓN DEM. DE POT MAXIMA'!D34*12*EGRESOS!B98*1000</f>
        <v>702553.55996337533</v>
      </c>
      <c r="E98" s="432">
        <f>EGRESOS!$D$12*'ESTIMACIÓN DEM. DE POT MAXIMA'!E34*12*EGRESOS!B98*1000</f>
        <v>624914.77820098819</v>
      </c>
      <c r="F98" s="114">
        <f>'ESTIMACIÓN DEM. DE ENERGÍA'!F32*$D$20*B98*1000</f>
        <v>1716325.6484778847</v>
      </c>
      <c r="G98" s="114">
        <f>'ESTIMACIÓN DEM. DE ENERGÍA'!E32*$D$29*$D$23*B98*1000</f>
        <v>343241.34304188</v>
      </c>
      <c r="H98" s="114">
        <f>'ESTIMACIÓN DEM. DE ENERGÍA'!G32*$D$29*$D$26*B98*1000</f>
        <v>451470.29502621159</v>
      </c>
      <c r="I98" s="120">
        <f t="shared" si="3"/>
        <v>3857639.02471034</v>
      </c>
    </row>
    <row r="99" spans="1:9">
      <c r="A99" s="424">
        <v>2045</v>
      </c>
      <c r="B99" s="311">
        <v>1</v>
      </c>
      <c r="C99" s="432">
        <f t="shared" si="2"/>
        <v>19133.400000000001</v>
      </c>
      <c r="D99" s="432">
        <f>EGRESOS!$D$9*'ESTIMACIÓN DEM. DE POT MAXIMA'!D35*12*EGRESOS!B99*1000</f>
        <v>730655.70236191025</v>
      </c>
      <c r="E99" s="432">
        <f>EGRESOS!$D$12*'ESTIMACIÓN DEM. DE POT MAXIMA'!E35*12*EGRESOS!B99*1000</f>
        <v>649911.36932902772</v>
      </c>
      <c r="F99" s="114">
        <f>'ESTIMACIÓN DEM. DE ENERGÍA'!F33*$D$20*B99*1000</f>
        <v>1784978.674417</v>
      </c>
      <c r="G99" s="114">
        <f>'ESTIMACIÓN DEM. DE ENERGÍA'!E33*$D$29*$D$23*B99*1000</f>
        <v>356970.99676355516</v>
      </c>
      <c r="H99" s="114">
        <f>'ESTIMACIÓN DEM. DE ENERGÍA'!G33*$D$29*$D$26*B99*1000</f>
        <v>469529.10682726005</v>
      </c>
      <c r="I99" s="120">
        <f t="shared" si="3"/>
        <v>4011179.2496987535</v>
      </c>
    </row>
    <row r="100" spans="1:9">
      <c r="A100" s="424">
        <v>2046</v>
      </c>
      <c r="B100" s="311">
        <v>1</v>
      </c>
      <c r="C100" s="432">
        <f t="shared" si="2"/>
        <v>19133.400000000001</v>
      </c>
      <c r="D100" s="432">
        <f>EGRESOS!$D$9*'ESTIMACIÓN DEM. DE POT MAXIMA'!D36*12*EGRESOS!B100*1000</f>
        <v>759881.93045638665</v>
      </c>
      <c r="E100" s="432">
        <f>EGRESOS!$D$12*'ESTIMACIÓN DEM. DE POT MAXIMA'!E36*12*EGRESOS!B100*1000</f>
        <v>675907.82410218881</v>
      </c>
      <c r="F100" s="114">
        <f>'ESTIMACIÓN DEM. DE ENERGÍA'!F34*$D$20*B100*1000</f>
        <v>1856377.8213936798</v>
      </c>
      <c r="G100" s="114">
        <f>'ESTIMACIÓN DEM. DE ENERGÍA'!E34*$D$29*$D$23*B100*1000</f>
        <v>371249.83663409733</v>
      </c>
      <c r="H100" s="114">
        <f>'ESTIMACIÓN DEM. DE ENERGÍA'!G34*$D$29*$D$26*B100*1000</f>
        <v>488310.27110035042</v>
      </c>
      <c r="I100" s="120">
        <f t="shared" si="3"/>
        <v>4170861.0836867029</v>
      </c>
    </row>
    <row r="101" spans="1:9">
      <c r="A101" s="424">
        <v>2047</v>
      </c>
      <c r="B101" s="311">
        <v>1</v>
      </c>
      <c r="C101" s="432">
        <f t="shared" si="2"/>
        <v>19133.400000000001</v>
      </c>
      <c r="D101" s="432">
        <f>EGRESOS!$D$9*'ESTIMACIÓN DEM. DE POT MAXIMA'!D37*12*EGRESOS!B101*1000</f>
        <v>790277.20767464198</v>
      </c>
      <c r="E101" s="432">
        <f>EGRESOS!$D$12*'ESTIMACIÓN DEM. DE POT MAXIMA'!E37*12*EGRESOS!B101*1000</f>
        <v>702944.13706627639</v>
      </c>
      <c r="F101" s="114">
        <f>'ESTIMACIÓN DEM. DE ENERGÍA'!F35*$D$20*B101*1000</f>
        <v>1930632.9342494272</v>
      </c>
      <c r="G101" s="114">
        <f>'ESTIMACIÓN DEM. DE ENERGÍA'!E35*$D$29*$D$23*B101*1000</f>
        <v>386099.83009946131</v>
      </c>
      <c r="H101" s="114">
        <f>'ESTIMACIÓN DEM. DE ENERGÍA'!G35*$D$29*$D$26*B101*1000</f>
        <v>507842.68194436445</v>
      </c>
      <c r="I101" s="120">
        <f t="shared" si="3"/>
        <v>4336930.1910341708</v>
      </c>
    </row>
    <row r="102" spans="1:9">
      <c r="A102" s="101"/>
      <c r="B102" s="116"/>
      <c r="C102" s="118"/>
      <c r="D102" s="118"/>
      <c r="E102" s="118"/>
      <c r="F102" s="119"/>
      <c r="G102" s="119"/>
      <c r="H102" s="119"/>
      <c r="I102" s="274"/>
    </row>
    <row r="104" spans="1:9">
      <c r="A104" s="630" t="s">
        <v>433</v>
      </c>
      <c r="B104" s="630"/>
      <c r="C104" s="630"/>
      <c r="D104" s="630"/>
      <c r="E104" s="630"/>
      <c r="F104" s="630"/>
      <c r="G104" s="630"/>
      <c r="H104" s="630"/>
      <c r="I104" s="630"/>
    </row>
    <row r="105" spans="1:9">
      <c r="A105" s="454" t="s">
        <v>79</v>
      </c>
      <c r="B105" s="462" t="s">
        <v>211</v>
      </c>
      <c r="C105" s="619" t="s">
        <v>80</v>
      </c>
      <c r="D105" s="619"/>
      <c r="E105" s="619"/>
      <c r="F105" s="619" t="s">
        <v>81</v>
      </c>
      <c r="G105" s="619"/>
      <c r="H105" s="619"/>
      <c r="I105" s="631" t="s">
        <v>217</v>
      </c>
    </row>
    <row r="106" spans="1:9" ht="45">
      <c r="A106" s="454"/>
      <c r="B106" s="462"/>
      <c r="C106" s="425" t="s">
        <v>209</v>
      </c>
      <c r="D106" s="425" t="s">
        <v>454</v>
      </c>
      <c r="E106" s="425" t="s">
        <v>453</v>
      </c>
      <c r="F106" s="425" t="s">
        <v>455</v>
      </c>
      <c r="G106" s="425" t="s">
        <v>210</v>
      </c>
      <c r="H106" s="425" t="s">
        <v>456</v>
      </c>
      <c r="I106" s="631"/>
    </row>
    <row r="107" spans="1:9">
      <c r="A107" s="424">
        <v>2017</v>
      </c>
      <c r="B107" s="311">
        <v>1</v>
      </c>
      <c r="C107" s="432">
        <f t="shared" ref="C107:C137" si="4">+$D$5*12*B107</f>
        <v>19133.400000000001</v>
      </c>
      <c r="D107" s="432">
        <f>EGRESOS!$D$9*'ESTIMACIÓN DEM. DE POT MAXIMA'!F7*12*EGRESOS!B107*1000</f>
        <v>243657.21600000001</v>
      </c>
      <c r="E107" s="432">
        <f>EGRESOS!$D$12*'ESTIMACIÓN DEM. DE POT MAXIMA'!G7*12*EGRESOS!B107*1000</f>
        <v>216730.8</v>
      </c>
      <c r="F107" s="114">
        <f>'ESTIMACIÓN DEM. DE ENERGÍA'!I5*$D$20*B107*1000</f>
        <v>595250.17463340005</v>
      </c>
      <c r="G107" s="114">
        <f>'ESTIMACIÓN DEM. DE ENERGÍA'!H5*$D$29*$D$23*B107*1000</f>
        <v>119041.78532102998</v>
      </c>
      <c r="H107" s="114">
        <f>'ESTIMACIÓN DEM. DE ENERGÍA'!J5*$D$29*$D$26*B107*1000</f>
        <v>156577.37923713605</v>
      </c>
      <c r="I107" s="120">
        <f>SUM(C107:H107)</f>
        <v>1350390.7551915662</v>
      </c>
    </row>
    <row r="108" spans="1:9">
      <c r="A108" s="424">
        <v>2018</v>
      </c>
      <c r="B108" s="311">
        <v>1</v>
      </c>
      <c r="C108" s="432">
        <f t="shared" si="4"/>
        <v>19133.400000000001</v>
      </c>
      <c r="D108" s="432">
        <f>EGRESOS!$D$9*'ESTIMACIÓN DEM. DE POT MAXIMA'!F8*12*EGRESOS!B108*1000</f>
        <v>258276.64895999999</v>
      </c>
      <c r="E108" s="432">
        <f>EGRESOS!$D$12*'ESTIMACIÓN DEM. DE POT MAXIMA'!G8*12*EGRESOS!B108*1000</f>
        <v>229734.64799999999</v>
      </c>
      <c r="F108" s="114">
        <f>'ESTIMACIÓN DEM. DE ENERGÍA'!I6*$D$20*B108*1000</f>
        <v>630965.18511140405</v>
      </c>
      <c r="G108" s="114">
        <f>'ESTIMACIÓN DEM. DE ENERGÍA'!H6*$D$29*$D$23*B108*1000</f>
        <v>126184.29244029176</v>
      </c>
      <c r="H108" s="114">
        <f>'ESTIMACIÓN DEM. DE ENERGÍA'!J6*$D$29*$D$26*B108*1000</f>
        <v>165972.02199136422</v>
      </c>
      <c r="I108" s="120">
        <f>SUM(C108:H108)</f>
        <v>1430266.1965030599</v>
      </c>
    </row>
    <row r="109" spans="1:9">
      <c r="A109" s="424">
        <v>2019</v>
      </c>
      <c r="B109" s="311">
        <v>1</v>
      </c>
      <c r="C109" s="432">
        <f t="shared" si="4"/>
        <v>19133.400000000001</v>
      </c>
      <c r="D109" s="432">
        <f>EGRESOS!$D$9*'ESTIMACIÓN DEM. DE POT MAXIMA'!F9*12*EGRESOS!B109*1000</f>
        <v>273773.2478976</v>
      </c>
      <c r="E109" s="432">
        <f>EGRESOS!$D$12*'ESTIMACIÓN DEM. DE POT MAXIMA'!G9*12*EGRESOS!B109*1000</f>
        <v>243518.72688</v>
      </c>
      <c r="F109" s="114">
        <f>'ESTIMACIÓN DEM. DE ENERGÍA'!I7*$D$20*B109*1000</f>
        <v>668823.09621808829</v>
      </c>
      <c r="G109" s="114">
        <f>'ESTIMACIÓN DEM. DE ENERGÍA'!H7*$D$29*$D$23*B109*1000</f>
        <v>133755.34998670928</v>
      </c>
      <c r="H109" s="114">
        <f>'ESTIMACIÓN DEM. DE ENERGÍA'!J7*$D$29*$D$26*B109*1000</f>
        <v>175930.34331084607</v>
      </c>
      <c r="I109" s="120">
        <f t="shared" ref="I109:I137" si="5">SUM(C109:H109)</f>
        <v>1514934.1642932435</v>
      </c>
    </row>
    <row r="110" spans="1:9">
      <c r="A110" s="424">
        <v>2020</v>
      </c>
      <c r="B110" s="311">
        <v>1</v>
      </c>
      <c r="C110" s="432">
        <f t="shared" si="4"/>
        <v>19133.400000000001</v>
      </c>
      <c r="D110" s="432">
        <f>EGRESOS!$D$9*'ESTIMACIÓN DEM. DE POT MAXIMA'!F10*12*EGRESOS!B110*1000</f>
        <v>290199.64277145604</v>
      </c>
      <c r="E110" s="432">
        <f>EGRESOS!$D$12*'ESTIMACIÓN DEM. DE POT MAXIMA'!G10*12*EGRESOS!B110*1000</f>
        <v>258129.8504928</v>
      </c>
      <c r="F110" s="114">
        <f>'ESTIMACIÓN DEM. DE ENERGÍA'!I8*$D$20*B110*1000</f>
        <v>708952.48199117347</v>
      </c>
      <c r="G110" s="114">
        <f>'ESTIMACIÓN DEM. DE ENERGÍA'!H8*$D$29*$D$23*B110*1000</f>
        <v>141780.67098591183</v>
      </c>
      <c r="H110" s="114">
        <f>'ESTIMACIÓN DEM. DE ENERGÍA'!J8*$D$29*$D$26*B110*1000</f>
        <v>186486.1639094968</v>
      </c>
      <c r="I110" s="120">
        <f t="shared" si="5"/>
        <v>1604682.2101508381</v>
      </c>
    </row>
    <row r="111" spans="1:9">
      <c r="A111" s="424">
        <v>2021</v>
      </c>
      <c r="B111" s="311">
        <v>1</v>
      </c>
      <c r="C111" s="432">
        <f t="shared" si="4"/>
        <v>19133.400000000001</v>
      </c>
      <c r="D111" s="432">
        <f>EGRESOS!$D$9*'ESTIMACIÓN DEM. DE POT MAXIMA'!F11*12*EGRESOS!B111*1000</f>
        <v>307611.62133774336</v>
      </c>
      <c r="E111" s="432">
        <f>EGRESOS!$D$12*'ESTIMACIÓN DEM. DE POT MAXIMA'!G11*12*EGRESOS!B111*1000</f>
        <v>273617.64152236801</v>
      </c>
      <c r="F111" s="114">
        <f>'ESTIMACIÓN DEM. DE ENERGÍA'!I9*$D$20*B111*1000</f>
        <v>751489.63091064396</v>
      </c>
      <c r="G111" s="114">
        <f>'ESTIMACIÓN DEM. DE ENERGÍA'!H9*$D$29*$D$23*B111*1000</f>
        <v>150287.51124506656</v>
      </c>
      <c r="H111" s="114">
        <f>'ESTIMACIÓN DEM. DE ENERGÍA'!J9*$D$29*$D$26*B111*1000</f>
        <v>197675.33374406662</v>
      </c>
      <c r="I111" s="120">
        <f t="shared" si="5"/>
        <v>1699815.1387598882</v>
      </c>
    </row>
    <row r="112" spans="1:9">
      <c r="A112" s="424">
        <v>2022</v>
      </c>
      <c r="B112" s="311">
        <v>1</v>
      </c>
      <c r="C112" s="432">
        <f t="shared" si="4"/>
        <v>19133.400000000001</v>
      </c>
      <c r="D112" s="432">
        <f>EGRESOS!$D$9*'ESTIMACIÓN DEM. DE POT MAXIMA'!F12*12*EGRESOS!B112*1000</f>
        <v>326068.31861800794</v>
      </c>
      <c r="E112" s="432">
        <f>EGRESOS!$D$12*'ESTIMACIÓN DEM. DE POT MAXIMA'!G12*12*EGRESOS!B112*1000</f>
        <v>290034.70001371001</v>
      </c>
      <c r="F112" s="114">
        <f>'ESTIMACIÓN DEM. DE ENERGÍA'!I10*$D$20*B112*1000</f>
        <v>796579.00876528258</v>
      </c>
      <c r="G112" s="114">
        <f>'ESTIMACIÓN DEM. DE ENERGÍA'!H10*$D$29*$D$23*B112*1000</f>
        <v>159304.76191977054</v>
      </c>
      <c r="H112" s="114">
        <f>'ESTIMACIÓN DEM. DE ENERGÍA'!J10*$D$29*$D$26*B112*1000</f>
        <v>209535.8537687106</v>
      </c>
      <c r="I112" s="120">
        <f t="shared" si="5"/>
        <v>1800656.0430854817</v>
      </c>
    </row>
    <row r="113" spans="1:9">
      <c r="A113" s="424">
        <v>2023</v>
      </c>
      <c r="B113" s="311">
        <v>1</v>
      </c>
      <c r="C113" s="432">
        <f t="shared" si="4"/>
        <v>19133.400000000001</v>
      </c>
      <c r="D113" s="432">
        <f>EGRESOS!$D$9*'ESTIMACIÓN DEM. DE POT MAXIMA'!F13*12*EGRESOS!B113*1000</f>
        <v>345632.41773508844</v>
      </c>
      <c r="E113" s="432">
        <f>EGRESOS!$D$12*'ESTIMACIÓN DEM. DE POT MAXIMA'!G13*12*EGRESOS!B113*1000</f>
        <v>307436.78201453266</v>
      </c>
      <c r="F113" s="114">
        <f>'ESTIMACIÓN DEM. DE ENERGÍA'!I11*$D$20*B113*1000</f>
        <v>844373.74929119949</v>
      </c>
      <c r="G113" s="114">
        <f>'ESTIMACIÓN DEM. DE ENERGÍA'!H11*$D$29*$D$23*B113*1000</f>
        <v>168863.04763495675</v>
      </c>
      <c r="H113" s="114">
        <f>'ESTIMACIÓN DEM. DE ENERGÍA'!J11*$D$29*$D$26*B113*1000</f>
        <v>222108.00499483326</v>
      </c>
      <c r="I113" s="120">
        <f t="shared" si="5"/>
        <v>1907547.4016706105</v>
      </c>
    </row>
    <row r="114" spans="1:9">
      <c r="A114" s="424">
        <v>2024</v>
      </c>
      <c r="B114" s="311">
        <v>1</v>
      </c>
      <c r="C114" s="432">
        <f t="shared" si="4"/>
        <v>19133.400000000001</v>
      </c>
      <c r="D114" s="432">
        <f>EGRESOS!$D$9*'ESTIMACIÓN DEM. DE POT MAXIMA'!F14*12*EGRESOS!B114*1000</f>
        <v>366370.36279919377</v>
      </c>
      <c r="E114" s="432">
        <f>EGRESOS!$D$12*'ESTIMACIÓN DEM. DE POT MAXIMA'!G14*12*EGRESOS!B114*1000</f>
        <v>325882.98893540457</v>
      </c>
      <c r="F114" s="114">
        <f>'ESTIMACIÓN DEM. DE ENERGÍA'!I12*$D$20*B114*1000</f>
        <v>895036.17424867151</v>
      </c>
      <c r="G114" s="114">
        <f>'ESTIMACIÓN DEM. DE ENERGÍA'!H12*$D$29*$D$23*B114*1000</f>
        <v>178994.83049305415</v>
      </c>
      <c r="H114" s="114">
        <f>'ESTIMACIÓN DEM. DE ENERGÍA'!J12*$D$29*$D$26*B114*1000</f>
        <v>235434.48529452327</v>
      </c>
      <c r="I114" s="120">
        <f t="shared" si="5"/>
        <v>2020852.241770847</v>
      </c>
    </row>
    <row r="115" spans="1:9">
      <c r="A115" s="424">
        <v>2025</v>
      </c>
      <c r="B115" s="311">
        <v>1</v>
      </c>
      <c r="C115" s="432">
        <f t="shared" si="4"/>
        <v>19133.400000000001</v>
      </c>
      <c r="D115" s="432">
        <f>EGRESOS!$D$9*'ESTIMACIÓN DEM. DE POT MAXIMA'!F15*12*EGRESOS!B115*1000</f>
        <v>388352.58456714533</v>
      </c>
      <c r="E115" s="432">
        <f>EGRESOS!$D$12*'ESTIMACIÓN DEM. DE POT MAXIMA'!G15*12*EGRESOS!B115*1000</f>
        <v>345435.96827152884</v>
      </c>
      <c r="F115" s="114">
        <f>'ESTIMACIÓN DEM. DE ENERGÍA'!I13*$D$20*B115*1000</f>
        <v>948738.34470359166</v>
      </c>
      <c r="G115" s="114">
        <f>'ESTIMACIÓN DEM. DE ENERGÍA'!H13*$D$29*$D$23*B115*1000</f>
        <v>189734.52032263743</v>
      </c>
      <c r="H115" s="114">
        <f>'ESTIMACIÓN DEM. DE ENERGÍA'!J13*$D$29*$D$26*B115*1000</f>
        <v>249560.55441219467</v>
      </c>
      <c r="I115" s="120">
        <f t="shared" si="5"/>
        <v>2140955.3722770978</v>
      </c>
    </row>
    <row r="116" spans="1:9">
      <c r="A116" s="424">
        <v>2026</v>
      </c>
      <c r="B116" s="311">
        <v>1</v>
      </c>
      <c r="C116" s="432">
        <f t="shared" si="4"/>
        <v>19133.400000000001</v>
      </c>
      <c r="D116" s="432">
        <f>EGRESOS!$D$9*'ESTIMACIÓN DEM. DE POT MAXIMA'!F16*12*EGRESOS!B116*1000</f>
        <v>411653.73964117409</v>
      </c>
      <c r="E116" s="432">
        <f>EGRESOS!$D$12*'ESTIMACIÓN DEM. DE POT MAXIMA'!G16*12*EGRESOS!B116*1000</f>
        <v>366162.12636782066</v>
      </c>
      <c r="F116" s="114">
        <f>'ESTIMACIÓN DEM. DE ENERGÍA'!I14*$D$20*B116*1000</f>
        <v>1005662.645385807</v>
      </c>
      <c r="G116" s="114">
        <f>'ESTIMACIÓN DEM. DE ENERGÍA'!H14*$D$29*$D$23*B116*1000</f>
        <v>201118.59154199564</v>
      </c>
      <c r="H116" s="114">
        <f>'ESTIMACIÓN DEM. DE ENERGÍA'!J14*$D$29*$D$26*B116*1000</f>
        <v>264534.18767692643</v>
      </c>
      <c r="I116" s="120">
        <f t="shared" si="5"/>
        <v>2268264.6906137243</v>
      </c>
    </row>
    <row r="117" spans="1:9">
      <c r="A117" s="424">
        <v>2027</v>
      </c>
      <c r="B117" s="311">
        <v>1</v>
      </c>
      <c r="C117" s="432">
        <f t="shared" si="4"/>
        <v>19133.400000000001</v>
      </c>
      <c r="D117" s="432">
        <f>EGRESOS!$D$9*'ESTIMACIÓN DEM. DE POT MAXIMA'!F17*12*EGRESOS!B117*1000</f>
        <v>436352.96401964454</v>
      </c>
      <c r="E117" s="432">
        <f>EGRESOS!$D$12*'ESTIMACIÓN DEM. DE POT MAXIMA'!G17*12*EGRESOS!B117*1000</f>
        <v>388131.85394988989</v>
      </c>
      <c r="F117" s="114">
        <f>'ESTIMACIÓN DEM. DE ENERGÍA'!I15*$D$20*B117*1000</f>
        <v>1066002.4041089555</v>
      </c>
      <c r="G117" s="114">
        <f>'ESTIMACIÓN DEM. DE ENERGÍA'!H15*$D$29*$D$23*B117*1000</f>
        <v>213185.70703451539</v>
      </c>
      <c r="H117" s="114">
        <f>'ESTIMACIÓN DEM. DE ENERGÍA'!J15*$D$29*$D$26*B117*1000</f>
        <v>280406.23893754196</v>
      </c>
      <c r="I117" s="120">
        <f t="shared" si="5"/>
        <v>2403212.568050547</v>
      </c>
    </row>
    <row r="118" spans="1:9">
      <c r="A118" s="424">
        <v>2028</v>
      </c>
      <c r="B118" s="311">
        <v>1</v>
      </c>
      <c r="C118" s="432">
        <f t="shared" si="4"/>
        <v>19133.400000000001</v>
      </c>
      <c r="D118" s="432">
        <f>EGRESOS!$D$9*'ESTIMACIÓN DEM. DE POT MAXIMA'!F18*12*EGRESOS!B118*1000</f>
        <v>462534.14186082326</v>
      </c>
      <c r="E118" s="432">
        <f>EGRESOS!$D$12*'ESTIMACIÓN DEM. DE POT MAXIMA'!G18*12*EGRESOS!B118*1000</f>
        <v>411419.76518688316</v>
      </c>
      <c r="F118" s="114">
        <f>'ESTIMACIÓN DEM. DE ENERGÍA'!I16*$D$20*B118*1000</f>
        <v>1129962.5483554928</v>
      </c>
      <c r="G118" s="114">
        <f>'ESTIMACIÓN DEM. DE ENERGÍA'!H16*$D$29*$D$23*B118*1000</f>
        <v>225976.84945658632</v>
      </c>
      <c r="H118" s="114">
        <f>'ESTIMACIÓN DEM. DE ENERGÍA'!J16*$D$29*$D$26*B118*1000</f>
        <v>297230.61327379453</v>
      </c>
      <c r="I118" s="120">
        <f>SUM(C118:H118)</f>
        <v>2546257.3181335805</v>
      </c>
    </row>
    <row r="119" spans="1:9">
      <c r="A119" s="424">
        <v>2029</v>
      </c>
      <c r="B119" s="311">
        <v>1</v>
      </c>
      <c r="C119" s="432">
        <f t="shared" si="4"/>
        <v>19133.400000000001</v>
      </c>
      <c r="D119" s="432">
        <f>EGRESOS!$D$9*'ESTIMACIÓN DEM. DE POT MAXIMA'!F19*12*EGRESOS!B119*1000</f>
        <v>490286.19037247263</v>
      </c>
      <c r="E119" s="432">
        <f>EGRESOS!$D$12*'ESTIMACIÓN DEM. DE POT MAXIMA'!G19*12*EGRESOS!B119*1000</f>
        <v>436104.95109809615</v>
      </c>
      <c r="F119" s="114">
        <f>'ESTIMACIÓN DEM. DE ENERGÍA'!I17*$D$20*B119*1000</f>
        <v>1197760.3012568224</v>
      </c>
      <c r="G119" s="114">
        <f>'ESTIMACIÓN DEM. DE ENERGÍA'!H17*$D$29*$D$23*B119*1000</f>
        <v>239535.46042398148</v>
      </c>
      <c r="H119" s="114">
        <f>'ESTIMACIÓN DEM. DE ENERGÍA'!J17*$D$29*$D$26*B119*1000</f>
        <v>315064.45007022214</v>
      </c>
      <c r="I119" s="120">
        <f>SUM(C119:H119)</f>
        <v>2697884.7532215947</v>
      </c>
    </row>
    <row r="120" spans="1:9">
      <c r="A120" s="424">
        <v>2030</v>
      </c>
      <c r="B120" s="311">
        <v>1</v>
      </c>
      <c r="C120" s="432">
        <f t="shared" si="4"/>
        <v>19133.400000000001</v>
      </c>
      <c r="D120" s="432">
        <f>EGRESOS!$D$9*'ESTIMACIÓN DEM. DE POT MAXIMA'!F20*12*EGRESOS!B120*1000</f>
        <v>519703.36179482104</v>
      </c>
      <c r="E120" s="432">
        <f>EGRESOS!$D$12*'ESTIMACIÓN DEM. DE POT MAXIMA'!G20*12*EGRESOS!B120*1000</f>
        <v>462271.24816398189</v>
      </c>
      <c r="F120" s="114">
        <f>'ESTIMACIÓN DEM. DE ENERGÍA'!I18*$D$20*B120*1000</f>
        <v>1269625.9193322319</v>
      </c>
      <c r="G120" s="114">
        <f>'ESTIMACIÓN DEM. DE ENERGÍA'!H18*$D$29*$D$23*B120*1000</f>
        <v>253907.58804942039</v>
      </c>
      <c r="H120" s="114">
        <f>'ESTIMACIÓN DEM. DE ENERGÍA'!J18*$D$29*$D$26*B120*1000</f>
        <v>333968.31707443553</v>
      </c>
      <c r="I120" s="120">
        <f t="shared" si="5"/>
        <v>2858609.834414891</v>
      </c>
    </row>
    <row r="121" spans="1:9">
      <c r="A121" s="424">
        <v>2031</v>
      </c>
      <c r="B121" s="311">
        <v>1</v>
      </c>
      <c r="C121" s="432">
        <f t="shared" si="4"/>
        <v>19133.400000000001</v>
      </c>
      <c r="D121" s="432">
        <f>EGRESOS!$D$9*'ESTIMACIÓN DEM. DE POT MAXIMA'!F21*12*EGRESOS!B121*1000</f>
        <v>550885.56350251043</v>
      </c>
      <c r="E121" s="432">
        <f>EGRESOS!$D$12*'ESTIMACIÓN DEM. DE POT MAXIMA'!G21*12*EGRESOS!B121*1000</f>
        <v>490007.52305382083</v>
      </c>
      <c r="F121" s="114">
        <f>'ESTIMACIÓN DEM. DE ENERGÍA'!I19*$D$20*B121*1000</f>
        <v>1345803.4744921657</v>
      </c>
      <c r="G121" s="114">
        <f>'ESTIMACIÓN DEM. DE ENERGÍA'!H19*$D$29*$D$23*B121*1000</f>
        <v>269142.04333238566</v>
      </c>
      <c r="H121" s="114">
        <f>'ESTIMACIÓN DEM. DE ENERGÍA'!J19*$D$29*$D$26*B121*1000</f>
        <v>354006.41609890165</v>
      </c>
      <c r="I121" s="120">
        <f t="shared" si="5"/>
        <v>3028978.4204797843</v>
      </c>
    </row>
    <row r="122" spans="1:9">
      <c r="A122" s="424">
        <v>2032</v>
      </c>
      <c r="B122" s="311">
        <v>1</v>
      </c>
      <c r="C122" s="432">
        <f t="shared" si="4"/>
        <v>19133.400000000001</v>
      </c>
      <c r="D122" s="432">
        <f>EGRESOS!$D$9*'ESTIMACIÓN DEM. DE POT MAXIMA'!F22*12*EGRESOS!B122*1000</f>
        <v>583938.69731266098</v>
      </c>
      <c r="E122" s="432">
        <f>EGRESOS!$D$12*'ESTIMACIÓN DEM. DE POT MAXIMA'!G22*12*EGRESOS!B122*1000</f>
        <v>519407.97443705017</v>
      </c>
      <c r="F122" s="114">
        <f>'ESTIMACIÓN DEM. DE ENERGÍA'!I20*$D$20*B122*1000</f>
        <v>1426551.6829616958</v>
      </c>
      <c r="G122" s="114">
        <f>'ESTIMACIÓN DEM. DE ENERGÍA'!H20*$D$29*$D$23*B122*1000</f>
        <v>285290.56593232875</v>
      </c>
      <c r="H122" s="114">
        <f>'ESTIMACIÓN DEM. DE ENERGÍA'!J20*$D$29*$D$26*B122*1000</f>
        <v>375246.8010648358</v>
      </c>
      <c r="I122" s="120">
        <f t="shared" si="5"/>
        <v>3209569.1217085719</v>
      </c>
    </row>
    <row r="123" spans="1:9">
      <c r="A123" s="424">
        <v>2033</v>
      </c>
      <c r="B123" s="311">
        <v>1</v>
      </c>
      <c r="C123" s="432">
        <f t="shared" si="4"/>
        <v>19133.400000000001</v>
      </c>
      <c r="D123" s="432">
        <f>EGRESOS!$D$9*'ESTIMACIÓN DEM. DE POT MAXIMA'!F23*12*EGRESOS!B123*1000</f>
        <v>618975.01915142057</v>
      </c>
      <c r="E123" s="432">
        <f>EGRESOS!$D$12*'ESTIMACIÓN DEM. DE POT MAXIMA'!G23*12*EGRESOS!B123*1000</f>
        <v>550572.45290327305</v>
      </c>
      <c r="F123" s="114">
        <f>'ESTIMACIÓN DEM. DE ENERGÍA'!I21*$D$20*B123*1000</f>
        <v>1512144.7839393974</v>
      </c>
      <c r="G123" s="114">
        <f>'ESTIMACIÓN DEM. DE ENERGÍA'!H21*$D$29*$D$23*B123*1000</f>
        <v>302407.99988826847</v>
      </c>
      <c r="H123" s="114">
        <f>'ESTIMACIÓN DEM. DE ENERGÍA'!J21*$D$29*$D$26*B123*1000</f>
        <v>397761.60912872589</v>
      </c>
      <c r="I123" s="120">
        <f t="shared" si="5"/>
        <v>3400995.2650110852</v>
      </c>
    </row>
    <row r="124" spans="1:9">
      <c r="A124" s="424">
        <v>2034</v>
      </c>
      <c r="B124" s="311">
        <v>1</v>
      </c>
      <c r="C124" s="432">
        <f t="shared" si="4"/>
        <v>19133.400000000001</v>
      </c>
      <c r="D124" s="432">
        <f>EGRESOS!$D$9*'ESTIMACIÓN DEM. DE POT MAXIMA'!F24*12*EGRESOS!B124*1000</f>
        <v>656113.52030050592</v>
      </c>
      <c r="E124" s="432">
        <f>EGRESOS!$D$12*'ESTIMACIÓN DEM. DE POT MAXIMA'!G24*12*EGRESOS!B124*1000</f>
        <v>583606.80007746944</v>
      </c>
      <c r="F124" s="114">
        <f>'ESTIMACIÓN DEM. DE ENERGÍA'!I22*$D$20*B124*1000</f>
        <v>1602873.4709757613</v>
      </c>
      <c r="G124" s="114">
        <f>'ESTIMACIÓN DEM. DE ENERGÍA'!H22*$D$29*$D$23*B124*1000</f>
        <v>320552.47988156456</v>
      </c>
      <c r="H124" s="114">
        <f>'ESTIMACIÓN DEM. DE ENERGÍA'!J22*$D$29*$D$26*B124*1000</f>
        <v>421627.30567644944</v>
      </c>
      <c r="I124" s="120">
        <f t="shared" si="5"/>
        <v>3603906.9769117506</v>
      </c>
    </row>
    <row r="125" spans="1:9">
      <c r="A125" s="424">
        <v>2035</v>
      </c>
      <c r="B125" s="311">
        <v>1</v>
      </c>
      <c r="C125" s="432">
        <f t="shared" si="4"/>
        <v>19133.400000000001</v>
      </c>
      <c r="D125" s="432">
        <f>EGRESOS!$D$9*'ESTIMACIÓN DEM. DE POT MAXIMA'!F25*12*EGRESOS!B125*1000</f>
        <v>695480.33151853632</v>
      </c>
      <c r="E125" s="432">
        <f>EGRESOS!$D$12*'ESTIMACIÓN DEM. DE POT MAXIMA'!G25*12*EGRESOS!B125*1000</f>
        <v>618623.20808211772</v>
      </c>
      <c r="F125" s="114">
        <f>'ESTIMACIÓN DEM. DE ENERGÍA'!I23*$D$20*B125*1000</f>
        <v>1699045.879234307</v>
      </c>
      <c r="G125" s="114">
        <f>'ESTIMACIÓN DEM. DE ENERGÍA'!H23*$D$29*$D$23*B125*1000</f>
        <v>339785.62867445848</v>
      </c>
      <c r="H125" s="114">
        <f>'ESTIMACIÓN DEM. DE ENERGÍA'!J23*$D$29*$D$26*B125*1000</f>
        <v>446924.94401703641</v>
      </c>
      <c r="I125" s="120">
        <f t="shared" si="5"/>
        <v>3818993.3915264555</v>
      </c>
    </row>
    <row r="126" spans="1:9">
      <c r="A126" s="424">
        <v>2036</v>
      </c>
      <c r="B126" s="311">
        <v>1</v>
      </c>
      <c r="C126" s="432">
        <f t="shared" si="4"/>
        <v>19133.400000000001</v>
      </c>
      <c r="D126" s="432">
        <f>EGRESOS!$D$9*'ESTIMACIÓN DEM. DE POT MAXIMA'!F26*12*EGRESOS!B126*1000</f>
        <v>737209.15140964848</v>
      </c>
      <c r="E126" s="432">
        <f>EGRESOS!$D$12*'ESTIMACIÓN DEM. DE POT MAXIMA'!G26*12*EGRESOS!B126*1000</f>
        <v>655740.60056704469</v>
      </c>
      <c r="F126" s="114">
        <f>'ESTIMACIÓN DEM. DE ENERGÍA'!I24*$D$20*B126*1000</f>
        <v>1800988.6319883657</v>
      </c>
      <c r="G126" s="114">
        <f>'ESTIMACIÓN DEM. DE ENERGÍA'!H24*$D$29*$D$23*B126*1000</f>
        <v>360172.766394926</v>
      </c>
      <c r="H126" s="114">
        <f>'ESTIMACIÓN DEM. DE ENERGÍA'!J24*$D$29*$D$26*B126*1000</f>
        <v>473740.44065805868</v>
      </c>
      <c r="I126" s="120">
        <f t="shared" si="5"/>
        <v>4046984.9910180434</v>
      </c>
    </row>
    <row r="127" spans="1:9">
      <c r="A127" s="424">
        <v>2037</v>
      </c>
      <c r="B127" s="311">
        <v>1</v>
      </c>
      <c r="C127" s="432">
        <f t="shared" si="4"/>
        <v>19133.400000000001</v>
      </c>
      <c r="D127" s="432">
        <f>EGRESOS!$D$9*'ESTIMACIÓN DEM. DE POT MAXIMA'!F27*12*EGRESOS!B127*1000</f>
        <v>781441.70049422723</v>
      </c>
      <c r="E127" s="432">
        <f>EGRESOS!$D$12*'ESTIMACIÓN DEM. DE POT MAXIMA'!G27*12*EGRESOS!B127*1000</f>
        <v>695085.0366010674</v>
      </c>
      <c r="F127" s="114">
        <f>'ESTIMACIÓN DEM. DE ENERGÍA'!I25*$D$20*B127*1000</f>
        <v>1909047.9499076675</v>
      </c>
      <c r="G127" s="114">
        <f>'ESTIMACIÓN DEM. DE ENERGÍA'!H25*$D$29*$D$23*B127*1000</f>
        <v>381783.13237862161</v>
      </c>
      <c r="H127" s="114">
        <f>'ESTIMACIÓN DEM. DE ENERGÍA'!J25*$D$29*$D$26*B127*1000</f>
        <v>502164.86709754221</v>
      </c>
      <c r="I127" s="120">
        <f t="shared" si="5"/>
        <v>4288656.0864791255</v>
      </c>
    </row>
    <row r="128" spans="1:9">
      <c r="A128" s="424">
        <v>2038</v>
      </c>
      <c r="B128" s="311">
        <v>1</v>
      </c>
      <c r="C128" s="432">
        <f t="shared" si="4"/>
        <v>19133.400000000001</v>
      </c>
      <c r="D128" s="432">
        <f>EGRESOS!$D$9*'ESTIMACIÓN DEM. DE POT MAXIMA'!F28*12*EGRESOS!B128*1000</f>
        <v>828328.20252388087</v>
      </c>
      <c r="E128" s="432">
        <f>EGRESOS!$D$12*'ESTIMACIÓN DEM. DE POT MAXIMA'!G28*12*EGRESOS!B128*1000</f>
        <v>736790.13879713137</v>
      </c>
      <c r="F128" s="114">
        <f>'ESTIMACIÓN DEM. DE ENERGÍA'!I26*$D$20*B128*1000</f>
        <v>2023590.8269021274</v>
      </c>
      <c r="G128" s="114">
        <f>'ESTIMACIÓN DEM. DE ENERGÍA'!H26*$D$29*$D$23*B128*1000</f>
        <v>404690.12032133882</v>
      </c>
      <c r="H128" s="114">
        <f>'ESTIMACIÓN DEM. DE ENERGÍA'!J26*$D$29*$D$26*B128*1000</f>
        <v>532294.75912339462</v>
      </c>
      <c r="I128" s="120">
        <f t="shared" si="5"/>
        <v>4544827.4476678735</v>
      </c>
    </row>
    <row r="129" spans="1:9">
      <c r="A129" s="424">
        <v>2039</v>
      </c>
      <c r="B129" s="311">
        <v>1</v>
      </c>
      <c r="C129" s="432">
        <f t="shared" si="4"/>
        <v>19133.400000000001</v>
      </c>
      <c r="D129" s="432">
        <f>EGRESOS!$D$9*'ESTIMACIÓN DEM. DE POT MAXIMA'!F29*12*EGRESOS!B129*1000</f>
        <v>878027.89467531373</v>
      </c>
      <c r="E129" s="432">
        <f>EGRESOS!$D$12*'ESTIMACIÓN DEM. DE POT MAXIMA'!G29*12*EGRESOS!B129*1000</f>
        <v>780997.5471249593</v>
      </c>
      <c r="F129" s="114">
        <f>'ESTIMACIÓN DEM. DE ENERGÍA'!I27*$D$20*B129*1000</f>
        <v>2145006.276516255</v>
      </c>
      <c r="G129" s="114">
        <f>'ESTIMACIÓN DEM. DE ENERGÍA'!H27*$D$29*$D$23*B129*1000</f>
        <v>428971.52754061925</v>
      </c>
      <c r="H129" s="114">
        <f>'ESTIMACIÓN DEM. DE ENERGÍA'!J27*$D$29*$D$26*B129*1000</f>
        <v>564232.44467079837</v>
      </c>
      <c r="I129" s="120">
        <f t="shared" si="5"/>
        <v>4816369.0905279452</v>
      </c>
    </row>
    <row r="130" spans="1:9">
      <c r="A130" s="424">
        <v>2040</v>
      </c>
      <c r="B130" s="311">
        <v>1</v>
      </c>
      <c r="C130" s="432">
        <f t="shared" si="4"/>
        <v>19133.400000000001</v>
      </c>
      <c r="D130" s="432">
        <f>EGRESOS!$D$9*'ESTIMACIÓN DEM. DE POT MAXIMA'!F30*12*EGRESOS!B130*1000</f>
        <v>930709.5683558326</v>
      </c>
      <c r="E130" s="432">
        <f>EGRESOS!$D$12*'ESTIMACIÓN DEM. DE POT MAXIMA'!G30*12*EGRESOS!B130*1000</f>
        <v>827857.39995245694</v>
      </c>
      <c r="F130" s="114">
        <f>'ESTIMACIÓN DEM. DE ENERGÍA'!I28*$D$20*B130*1000</f>
        <v>2273706.6531072301</v>
      </c>
      <c r="G130" s="114">
        <f>'ESTIMACIÓN DEM. DE ENERGÍA'!H28*$D$29*$D$23*B130*1000</f>
        <v>454709.81919305632</v>
      </c>
      <c r="H130" s="114">
        <f>'ESTIMACIÓN DEM. DE ENERGÍA'!J28*$D$29*$D$26*B130*1000</f>
        <v>598086.39135104639</v>
      </c>
      <c r="I130" s="120">
        <f t="shared" si="5"/>
        <v>5104203.2319596224</v>
      </c>
    </row>
    <row r="131" spans="1:9">
      <c r="A131" s="424">
        <v>2041</v>
      </c>
      <c r="B131" s="311">
        <v>1</v>
      </c>
      <c r="C131" s="432">
        <f t="shared" si="4"/>
        <v>19133.400000000001</v>
      </c>
      <c r="D131" s="432">
        <f>EGRESOS!$D$9*'ESTIMACIÓN DEM. DE POT MAXIMA'!F31*12*EGRESOS!B131*1000</f>
        <v>986552.14245718252</v>
      </c>
      <c r="E131" s="432">
        <f>EGRESOS!$D$12*'ESTIMACIÓN DEM. DE POT MAXIMA'!G31*12*EGRESOS!B131*1000</f>
        <v>877528.8439496042</v>
      </c>
      <c r="F131" s="114">
        <f>'ESTIMACIÓN DEM. DE ENERGÍA'!I29*$D$20*B131*1000</f>
        <v>2410129.0522936643</v>
      </c>
      <c r="G131" s="114">
        <f>'ESTIMACIÓN DEM. DE ENERGÍA'!H29*$D$29*$D$23*B131*1000</f>
        <v>481992.40834463976</v>
      </c>
      <c r="H131" s="114">
        <f>'ESTIMACIÓN DEM. DE ENERGÍA'!J29*$D$29*$D$26*B131*1000</f>
        <v>633971.57483210915</v>
      </c>
      <c r="I131" s="120">
        <f t="shared" si="5"/>
        <v>5409307.4218771989</v>
      </c>
    </row>
    <row r="132" spans="1:9">
      <c r="A132" s="424">
        <v>2042</v>
      </c>
      <c r="B132" s="311">
        <v>1</v>
      </c>
      <c r="C132" s="432">
        <f t="shared" si="4"/>
        <v>19133.400000000001</v>
      </c>
      <c r="D132" s="432">
        <f>EGRESOS!$D$9*'ESTIMACIÓN DEM. DE POT MAXIMA'!F32*12*EGRESOS!B132*1000</f>
        <v>1045745.2710046134</v>
      </c>
      <c r="E132" s="432">
        <f>EGRESOS!$D$12*'ESTIMACIÓN DEM. DE POT MAXIMA'!G32*12*EGRESOS!B132*1000</f>
        <v>930180.57458658039</v>
      </c>
      <c r="F132" s="114">
        <f>'ESTIMACIÓN DEM. DE ENERGÍA'!I30*$D$20*B132*1000</f>
        <v>2554736.7954312842</v>
      </c>
      <c r="G132" s="114">
        <f>'ESTIMACIÓN DEM. DE ENERGÍA'!H30*$D$29*$D$23*B132*1000</f>
        <v>510911.95284531813</v>
      </c>
      <c r="H132" s="114">
        <f>'ESTIMACIÓN DEM. DE ENERGÍA'!J30*$D$29*$D$26*B132*1000</f>
        <v>672009.86932203569</v>
      </c>
      <c r="I132" s="120">
        <f t="shared" si="5"/>
        <v>5732717.8631898314</v>
      </c>
    </row>
    <row r="133" spans="1:9">
      <c r="A133" s="424">
        <v>2043</v>
      </c>
      <c r="B133" s="311">
        <v>1</v>
      </c>
      <c r="C133" s="432">
        <f t="shared" si="4"/>
        <v>19133.400000000001</v>
      </c>
      <c r="D133" s="432">
        <f>EGRESOS!$D$9*'ESTIMACIÓN DEM. DE POT MAXIMA'!F33*12*EGRESOS!B133*1000</f>
        <v>1108489.9872648902</v>
      </c>
      <c r="E133" s="432">
        <f>EGRESOS!$D$12*'ESTIMACIÓN DEM. DE POT MAXIMA'!G33*12*EGRESOS!B133*1000</f>
        <v>985991.40906177508</v>
      </c>
      <c r="F133" s="114">
        <f>'ESTIMACIÓN DEM. DE ENERGÍA'!I31*$D$20*B133*1000</f>
        <v>2708021.0031571612</v>
      </c>
      <c r="G133" s="114">
        <f>'ESTIMACIÓN DEM. DE ENERGÍA'!H31*$D$29*$D$23*B133*1000</f>
        <v>541566.6700160373</v>
      </c>
      <c r="H133" s="114">
        <f>'ESTIMACIÓN DEM. DE ENERGÍA'!J31*$D$29*$D$26*B133*1000</f>
        <v>712330.46148135781</v>
      </c>
      <c r="I133" s="120">
        <f t="shared" si="5"/>
        <v>6075532.9309812216</v>
      </c>
    </row>
    <row r="134" spans="1:9">
      <c r="A134" s="424">
        <v>2044</v>
      </c>
      <c r="B134" s="311">
        <v>1</v>
      </c>
      <c r="C134" s="432">
        <f t="shared" si="4"/>
        <v>19133.400000000001</v>
      </c>
      <c r="D134" s="432">
        <f>EGRESOS!$D$9*'ESTIMACIÓN DEM. DE POT MAXIMA'!F34*12*EGRESOS!B134*1000</f>
        <v>1174999.386500784</v>
      </c>
      <c r="E134" s="432">
        <f>EGRESOS!$D$12*'ESTIMACIÓN DEM. DE POT MAXIMA'!G34*12*EGRESOS!B134*1000</f>
        <v>1045150.8936054816</v>
      </c>
      <c r="F134" s="114">
        <f>'ESTIMACIÓN DEM. DE ENERGÍA'!I32*$D$20*B134*1000</f>
        <v>2870502.2633465906</v>
      </c>
      <c r="G134" s="114">
        <f>'ESTIMACIÓN DEM. DE ENERGÍA'!H32*$D$29*$D$23*B134*1000</f>
        <v>574060.67021699948</v>
      </c>
      <c r="H134" s="114">
        <f>'ESTIMACIÓN DEM. DE ENERGÍA'!J32*$D$29*$D$26*B134*1000</f>
        <v>755070.28917023924</v>
      </c>
      <c r="I134" s="120">
        <f t="shared" si="5"/>
        <v>6438916.9028400946</v>
      </c>
    </row>
    <row r="135" spans="1:9">
      <c r="A135" s="424">
        <v>2045</v>
      </c>
      <c r="B135" s="311">
        <v>1</v>
      </c>
      <c r="C135" s="432">
        <f t="shared" si="4"/>
        <v>19133.400000000001</v>
      </c>
      <c r="D135" s="432">
        <f>EGRESOS!$D$9*'ESTIMACIÓN DEM. DE POT MAXIMA'!F35*12*EGRESOS!B135*1000</f>
        <v>1245499.349690831</v>
      </c>
      <c r="E135" s="432">
        <f>EGRESOS!$D$12*'ESTIMACIÓN DEM. DE POT MAXIMA'!G35*12*EGRESOS!B135*1000</f>
        <v>1107859.9472218107</v>
      </c>
      <c r="F135" s="114">
        <f>'ESTIMACIÓN DEM. DE ENERGÍA'!I33*$D$20*B135*1000</f>
        <v>3042732.3991473857</v>
      </c>
      <c r="G135" s="114">
        <f>'ESTIMACIÓN DEM. DE ENERGÍA'!H33*$D$29*$D$23*B135*1000</f>
        <v>608504.31043001951</v>
      </c>
      <c r="H135" s="114">
        <f>'ESTIMACIÓN DEM. DE ENERGÍA'!J33*$D$29*$D$26*B135*1000</f>
        <v>800374.50652045372</v>
      </c>
      <c r="I135" s="120">
        <f t="shared" si="5"/>
        <v>6824103.9130105004</v>
      </c>
    </row>
    <row r="136" spans="1:9">
      <c r="A136" s="424">
        <v>2046</v>
      </c>
      <c r="B136" s="311">
        <v>1</v>
      </c>
      <c r="C136" s="432">
        <f t="shared" si="4"/>
        <v>19133.400000000001</v>
      </c>
      <c r="D136" s="432">
        <f>EGRESOS!$D$9*'ESTIMACIÓN DEM. DE POT MAXIMA'!F36*12*EGRESOS!B136*1000</f>
        <v>1320229.3106722806</v>
      </c>
      <c r="E136" s="432">
        <f>EGRESOS!$D$12*'ESTIMACIÓN DEM. DE POT MAXIMA'!G36*12*EGRESOS!B136*1000</f>
        <v>1174331.5440551192</v>
      </c>
      <c r="F136" s="114">
        <f>'ESTIMACIÓN DEM. DE ENERGÍA'!I34*$D$20*B136*1000</f>
        <v>3225296.3430962292</v>
      </c>
      <c r="G136" s="114">
        <f>'ESTIMACIÓN DEM. DE ENERGÍA'!H34*$D$29*$D$23*B136*1000</f>
        <v>645014.56905582058</v>
      </c>
      <c r="H136" s="114">
        <f>'ESTIMACIÓN DEM. DE ENERGÍA'!J34*$D$29*$D$26*B136*1000</f>
        <v>848396.97691168077</v>
      </c>
      <c r="I136" s="120">
        <f t="shared" si="5"/>
        <v>7232402.1437911307</v>
      </c>
    </row>
    <row r="137" spans="1:9">
      <c r="A137" s="424">
        <v>2047</v>
      </c>
      <c r="B137" s="311">
        <v>1</v>
      </c>
      <c r="C137" s="432">
        <f t="shared" si="4"/>
        <v>19133.400000000001</v>
      </c>
      <c r="D137" s="432">
        <f>EGRESOS!$D$9*'ESTIMACIÓN DEM. DE POT MAXIMA'!F37*12*EGRESOS!B137*1000</f>
        <v>1399443.0693126176</v>
      </c>
      <c r="E137" s="432">
        <f>EGRESOS!$D$12*'ESTIMACIÓN DEM. DE POT MAXIMA'!G37*12*EGRESOS!B137*1000</f>
        <v>1244791.4366984263</v>
      </c>
      <c r="F137" s="114">
        <f>'ESTIMACIÓN DEM. DE ENERGÍA'!I35*$D$20*B137*1000</f>
        <v>3418814.1236820025</v>
      </c>
      <c r="G137" s="114">
        <f>'ESTIMACIÓN DEM. DE ENERGÍA'!H35*$D$29*$D$23*B137*1000</f>
        <v>683715.44319916994</v>
      </c>
      <c r="H137" s="114">
        <f>'ESTIMACIÓN DEM. DE ENERGÍA'!J35*$D$29*$D$26*B137*1000</f>
        <v>899300.7955263817</v>
      </c>
      <c r="I137" s="120">
        <f t="shared" si="5"/>
        <v>7665198.268418598</v>
      </c>
    </row>
  </sheetData>
  <mergeCells count="22">
    <mergeCell ref="A33:A34"/>
    <mergeCell ref="B33:B34"/>
    <mergeCell ref="C33:E33"/>
    <mergeCell ref="F33:H33"/>
    <mergeCell ref="I33:I34"/>
    <mergeCell ref="G1:I1"/>
    <mergeCell ref="A2:D2"/>
    <mergeCell ref="A3:D3"/>
    <mergeCell ref="H12:I12"/>
    <mergeCell ref="A32:I32"/>
    <mergeCell ref="A68:I68"/>
    <mergeCell ref="I105:I106"/>
    <mergeCell ref="A69:A70"/>
    <mergeCell ref="B69:B70"/>
    <mergeCell ref="C69:E69"/>
    <mergeCell ref="F69:H69"/>
    <mergeCell ref="I69:I70"/>
    <mergeCell ref="A105:A106"/>
    <mergeCell ref="B105:B106"/>
    <mergeCell ref="C105:E105"/>
    <mergeCell ref="F105:H105"/>
    <mergeCell ref="A104:I104"/>
  </mergeCells>
  <pageMargins left="0.55000000000000004" right="0.56999999999999995"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tabColor rgb="FF92D050"/>
  </sheetPr>
  <dimension ref="A1:AR246"/>
  <sheetViews>
    <sheetView showGridLines="0" tabSelected="1" workbookViewId="0">
      <selection activeCell="J151" sqref="J151"/>
    </sheetView>
  </sheetViews>
  <sheetFormatPr baseColWidth="10" defaultRowHeight="15"/>
  <cols>
    <col min="1" max="1" width="2" customWidth="1"/>
    <col min="2" max="2" width="13.7109375" customWidth="1"/>
    <col min="3" max="3" width="10.140625" customWidth="1"/>
    <col min="4" max="4" width="9.5703125" customWidth="1"/>
    <col min="5" max="5" width="12.42578125" bestFit="1" customWidth="1"/>
    <col min="6" max="6" width="12.85546875" bestFit="1" customWidth="1"/>
    <col min="7" max="7" width="12.42578125" customWidth="1"/>
    <col min="8" max="8" width="13.28515625" customWidth="1"/>
    <col min="9" max="9" width="12.42578125" bestFit="1" customWidth="1"/>
    <col min="10" max="10" width="13.28515625" bestFit="1" customWidth="1"/>
    <col min="11" max="11" width="12.42578125" customWidth="1"/>
    <col min="12" max="14" width="12.42578125" bestFit="1" customWidth="1"/>
    <col min="15" max="15" width="12.28515625" customWidth="1"/>
    <col min="16" max="16" width="12.5703125" customWidth="1"/>
    <col min="17" max="17" width="13" customWidth="1"/>
    <col min="18" max="18" width="12.7109375" customWidth="1"/>
    <col min="19" max="19" width="12.5703125" customWidth="1"/>
    <col min="20" max="35" width="12.7109375" bestFit="1" customWidth="1"/>
    <col min="36" max="36" width="15.42578125" customWidth="1"/>
  </cols>
  <sheetData>
    <row r="1" spans="1:44" ht="28.5" customHeight="1">
      <c r="A1" s="14"/>
      <c r="B1" s="14"/>
      <c r="C1" s="14"/>
      <c r="D1" s="306"/>
      <c r="E1" s="306"/>
      <c r="F1" s="306"/>
      <c r="G1" s="306"/>
      <c r="H1" s="306"/>
      <c r="I1" s="306"/>
      <c r="J1" s="306"/>
      <c r="K1" s="306"/>
      <c r="L1" s="306"/>
      <c r="M1" s="312"/>
      <c r="N1" s="312"/>
      <c r="O1" s="312"/>
      <c r="P1" s="14"/>
      <c r="Q1" s="14"/>
      <c r="R1" s="14"/>
      <c r="S1" s="14"/>
      <c r="T1" s="14"/>
      <c r="U1" s="14"/>
      <c r="V1" s="14"/>
      <c r="W1" s="14"/>
      <c r="X1" s="14"/>
      <c r="Y1" s="14"/>
    </row>
    <row r="2" spans="1:44">
      <c r="A2" s="14"/>
      <c r="B2" s="14"/>
      <c r="C2" s="14"/>
      <c r="D2" s="14"/>
      <c r="E2" s="14"/>
      <c r="F2" s="14"/>
      <c r="G2" s="14"/>
      <c r="H2" s="14"/>
      <c r="I2" s="14"/>
      <c r="J2" s="14"/>
      <c r="K2" s="14"/>
      <c r="L2" s="14"/>
      <c r="M2" s="14"/>
      <c r="N2" s="14"/>
      <c r="O2" s="14"/>
      <c r="P2" s="14"/>
      <c r="Q2" s="14"/>
      <c r="R2" s="14"/>
      <c r="S2" s="14"/>
      <c r="T2" s="14"/>
      <c r="U2" s="14"/>
      <c r="V2" s="14"/>
      <c r="W2" s="14"/>
      <c r="X2" s="14"/>
      <c r="Y2" s="14"/>
    </row>
    <row r="3" spans="1:44" ht="17.25" customHeight="1">
      <c r="A3" s="313" t="s">
        <v>218</v>
      </c>
      <c r="B3" s="314"/>
      <c r="C3" s="314"/>
      <c r="D3" s="314"/>
      <c r="E3" s="314"/>
      <c r="F3" s="314"/>
      <c r="G3" s="314"/>
      <c r="H3" s="641" t="s">
        <v>457</v>
      </c>
      <c r="I3" s="641"/>
      <c r="J3" s="641"/>
      <c r="K3" s="14"/>
      <c r="L3" s="14"/>
      <c r="M3" s="14"/>
      <c r="N3" s="14"/>
    </row>
    <row r="4" spans="1:44">
      <c r="A4" s="314"/>
      <c r="B4" s="314"/>
      <c r="C4" s="314"/>
      <c r="D4" s="314"/>
      <c r="E4" s="314"/>
      <c r="F4" s="314"/>
      <c r="G4" s="314"/>
      <c r="H4" s="314"/>
      <c r="I4" s="314"/>
      <c r="J4" s="314"/>
      <c r="K4" s="14"/>
      <c r="L4" s="14"/>
      <c r="M4" s="14"/>
      <c r="N4" s="14"/>
      <c r="O4" s="14"/>
      <c r="P4" s="14"/>
      <c r="Q4" s="14"/>
      <c r="R4" s="14"/>
      <c r="S4" s="14"/>
      <c r="T4" s="14"/>
      <c r="U4" s="14"/>
      <c r="V4" s="14"/>
      <c r="W4" s="14"/>
      <c r="X4" s="14"/>
      <c r="Y4" s="14"/>
    </row>
    <row r="5" spans="1:44">
      <c r="A5" s="315" t="s">
        <v>219</v>
      </c>
      <c r="B5" s="14"/>
      <c r="C5" s="14"/>
      <c r="D5" s="14"/>
      <c r="E5" s="14"/>
      <c r="F5" s="14"/>
      <c r="G5" s="14"/>
      <c r="H5" s="14"/>
      <c r="I5" s="14"/>
      <c r="J5" s="14"/>
      <c r="K5" s="14"/>
      <c r="L5" s="14"/>
      <c r="M5" s="14"/>
      <c r="N5" s="14"/>
      <c r="O5" s="14"/>
      <c r="P5" s="14"/>
      <c r="Q5" s="14"/>
      <c r="R5" s="14"/>
      <c r="S5" s="14"/>
      <c r="T5" s="14"/>
      <c r="U5" s="14"/>
      <c r="V5" s="14"/>
      <c r="W5" s="14"/>
      <c r="X5" s="14"/>
      <c r="Y5" s="14"/>
    </row>
    <row r="6" spans="1:44">
      <c r="A6" s="14"/>
      <c r="B6" s="316" t="s">
        <v>220</v>
      </c>
      <c r="C6" s="14"/>
      <c r="D6" s="317" t="s">
        <v>392</v>
      </c>
      <c r="E6" s="318">
        <f>'RESUMEN PRESUPUESTO'!E18*D9</f>
        <v>5192411.1998804212</v>
      </c>
      <c r="F6" s="14"/>
      <c r="G6" s="14" t="s">
        <v>408</v>
      </c>
      <c r="H6" s="14"/>
      <c r="I6" s="14"/>
      <c r="J6" s="309">
        <v>0.01</v>
      </c>
      <c r="K6" s="14"/>
      <c r="L6" s="14"/>
      <c r="M6" s="14"/>
      <c r="N6" s="14"/>
      <c r="O6" s="14"/>
      <c r="P6" s="319"/>
      <c r="Q6" s="14"/>
      <c r="R6" s="14"/>
      <c r="S6" s="14"/>
      <c r="T6" s="14"/>
      <c r="U6" s="14"/>
      <c r="V6" s="14"/>
      <c r="W6" s="14"/>
      <c r="X6" s="14"/>
      <c r="Y6" s="14"/>
    </row>
    <row r="7" spans="1:44">
      <c r="A7" s="14"/>
      <c r="B7" s="316" t="s">
        <v>236</v>
      </c>
      <c r="C7" s="14"/>
      <c r="D7" s="14"/>
      <c r="E7" s="316" t="s">
        <v>430</v>
      </c>
      <c r="F7" s="14"/>
      <c r="G7" s="14" t="s">
        <v>429</v>
      </c>
      <c r="H7" s="14"/>
      <c r="I7" s="14"/>
      <c r="J7" s="309">
        <v>0.01</v>
      </c>
      <c r="K7" s="14"/>
      <c r="L7" s="14"/>
      <c r="M7" s="14"/>
      <c r="N7" s="14"/>
      <c r="O7" s="14"/>
      <c r="P7" s="14"/>
      <c r="Q7" s="14"/>
      <c r="R7" s="14"/>
      <c r="S7" s="14"/>
      <c r="T7" s="14"/>
      <c r="U7" s="14"/>
      <c r="V7" s="14"/>
      <c r="W7" s="14"/>
      <c r="X7" s="14"/>
      <c r="Y7" s="14"/>
    </row>
    <row r="8" spans="1:44">
      <c r="A8" s="14"/>
      <c r="B8" s="316" t="s">
        <v>221</v>
      </c>
      <c r="C8" s="14"/>
      <c r="D8" s="14"/>
      <c r="E8" s="316">
        <v>2017</v>
      </c>
      <c r="F8" s="14"/>
      <c r="G8" s="14" t="s">
        <v>409</v>
      </c>
      <c r="H8" s="14"/>
      <c r="I8" s="14"/>
      <c r="J8" s="340">
        <v>0.02</v>
      </c>
      <c r="K8" s="14"/>
      <c r="L8" s="14"/>
      <c r="M8" s="14"/>
      <c r="N8" s="14"/>
      <c r="P8" s="314"/>
      <c r="Q8" s="314"/>
      <c r="R8" s="314"/>
      <c r="S8" s="314"/>
      <c r="T8" s="314"/>
      <c r="U8" s="314"/>
    </row>
    <row r="9" spans="1:44" ht="18.75" customHeight="1">
      <c r="A9" s="14"/>
      <c r="B9" s="316" t="s">
        <v>222</v>
      </c>
      <c r="C9" s="14"/>
      <c r="D9" s="14">
        <v>9.5399999999999991</v>
      </c>
      <c r="E9" s="319" t="s">
        <v>223</v>
      </c>
      <c r="F9" s="14"/>
      <c r="G9" s="14" t="s">
        <v>431</v>
      </c>
      <c r="H9" s="14"/>
      <c r="I9" s="14"/>
      <c r="J9" s="309">
        <v>0.02</v>
      </c>
      <c r="K9" s="14"/>
      <c r="L9" s="14"/>
      <c r="M9" s="14"/>
      <c r="N9" s="14"/>
      <c r="AK9" s="415"/>
      <c r="AL9" s="415"/>
    </row>
    <row r="10" spans="1:44">
      <c r="A10" s="14"/>
      <c r="B10" s="14"/>
      <c r="C10" s="14"/>
      <c r="D10" s="14"/>
      <c r="E10" s="14"/>
      <c r="F10" s="14"/>
      <c r="G10" s="14"/>
      <c r="H10" s="14"/>
      <c r="I10" s="14"/>
      <c r="J10" s="14"/>
      <c r="K10" s="14"/>
      <c r="L10" s="14"/>
      <c r="M10" s="14"/>
      <c r="N10" s="14"/>
      <c r="O10" s="14"/>
      <c r="P10" s="14"/>
      <c r="Q10" s="14"/>
      <c r="R10" s="14"/>
      <c r="S10" s="14"/>
      <c r="T10" s="14"/>
      <c r="U10" s="14"/>
      <c r="V10" s="14"/>
      <c r="W10" s="14"/>
      <c r="X10" s="14"/>
      <c r="Y10" s="14"/>
    </row>
    <row r="11" spans="1:44" s="116" customFormat="1">
      <c r="A11" s="671" t="s">
        <v>410</v>
      </c>
      <c r="B11" s="671"/>
      <c r="C11" s="671"/>
      <c r="D11" s="671"/>
      <c r="E11" s="320"/>
      <c r="F11" s="320">
        <v>1</v>
      </c>
      <c r="G11" s="320">
        <f t="shared" ref="G11:AJ11" si="0">F11-F11*$J$8</f>
        <v>0.98</v>
      </c>
      <c r="H11" s="320">
        <f t="shared" si="0"/>
        <v>0.96040000000000003</v>
      </c>
      <c r="I11" s="320">
        <f t="shared" si="0"/>
        <v>0.94119200000000003</v>
      </c>
      <c r="J11" s="320">
        <f t="shared" si="0"/>
        <v>0.92236815999999999</v>
      </c>
      <c r="K11" s="320">
        <f t="shared" si="0"/>
        <v>0.90392079680000004</v>
      </c>
      <c r="L11" s="320">
        <f t="shared" si="0"/>
        <v>0.88584238086400002</v>
      </c>
      <c r="M11" s="320">
        <f t="shared" si="0"/>
        <v>0.86812553324672004</v>
      </c>
      <c r="N11" s="320">
        <f t="shared" si="0"/>
        <v>0.8507630225817856</v>
      </c>
      <c r="O11" s="320">
        <f t="shared" si="0"/>
        <v>0.83374776213014989</v>
      </c>
      <c r="P11" s="320">
        <f t="shared" si="0"/>
        <v>0.81707280688754691</v>
      </c>
      <c r="Q11" s="320">
        <f t="shared" si="0"/>
        <v>0.80073135074979596</v>
      </c>
      <c r="R11" s="320">
        <f t="shared" si="0"/>
        <v>0.78471672373480006</v>
      </c>
      <c r="S11" s="320">
        <f t="shared" si="0"/>
        <v>0.76902238926010402</v>
      </c>
      <c r="T11" s="416">
        <f t="shared" si="0"/>
        <v>0.75364194147490193</v>
      </c>
      <c r="U11" s="416">
        <f t="shared" si="0"/>
        <v>0.73856910264540387</v>
      </c>
      <c r="V11" s="416">
        <f t="shared" si="0"/>
        <v>0.72379772059249581</v>
      </c>
      <c r="W11" s="416">
        <f t="shared" si="0"/>
        <v>0.70932176618064591</v>
      </c>
      <c r="X11" s="320">
        <f t="shared" si="0"/>
        <v>0.69513533085703294</v>
      </c>
      <c r="Y11" s="320">
        <f t="shared" si="0"/>
        <v>0.68123262423989228</v>
      </c>
      <c r="Z11" s="311">
        <f t="shared" si="0"/>
        <v>0.66760797175509445</v>
      </c>
      <c r="AA11" s="311">
        <f t="shared" si="0"/>
        <v>0.65425581231999252</v>
      </c>
      <c r="AB11" s="311">
        <f t="shared" si="0"/>
        <v>0.64117069607359267</v>
      </c>
      <c r="AC11" s="311">
        <f t="shared" si="0"/>
        <v>0.62834728215212077</v>
      </c>
      <c r="AD11" s="311">
        <f t="shared" si="0"/>
        <v>0.61578033650907837</v>
      </c>
      <c r="AE11" s="311">
        <f t="shared" si="0"/>
        <v>0.60346472977889676</v>
      </c>
      <c r="AF11" s="311">
        <f t="shared" si="0"/>
        <v>0.59139543518331883</v>
      </c>
      <c r="AG11" s="311">
        <f t="shared" si="0"/>
        <v>0.57956752647965248</v>
      </c>
      <c r="AH11" s="311">
        <f t="shared" si="0"/>
        <v>0.56797617595005945</v>
      </c>
      <c r="AI11" s="311">
        <f t="shared" si="0"/>
        <v>0.55661665243105829</v>
      </c>
      <c r="AJ11" s="311">
        <f t="shared" si="0"/>
        <v>0.54548431938243713</v>
      </c>
    </row>
    <row r="12" spans="1:44" ht="17.25" customHeight="1">
      <c r="A12" s="14"/>
      <c r="B12" s="14"/>
      <c r="C12" s="14"/>
      <c r="D12" s="14"/>
      <c r="E12" s="14"/>
      <c r="F12" s="14"/>
      <c r="G12" s="14"/>
      <c r="H12" s="14"/>
      <c r="I12" s="14"/>
      <c r="J12" s="14"/>
      <c r="K12" s="14"/>
      <c r="L12" s="14"/>
      <c r="M12" s="14"/>
      <c r="N12" s="313"/>
      <c r="O12" s="14"/>
      <c r="T12" s="642"/>
      <c r="U12" s="642"/>
      <c r="V12" s="642"/>
      <c r="W12" s="642"/>
      <c r="Y12" s="313"/>
      <c r="AE12" s="643"/>
      <c r="AF12" s="643"/>
      <c r="AG12" s="643"/>
      <c r="AH12" s="643"/>
    </row>
    <row r="13" spans="1:44" ht="15.75">
      <c r="A13" s="245" t="s">
        <v>224</v>
      </c>
      <c r="B13" s="14"/>
      <c r="C13" s="14"/>
      <c r="D13" s="14"/>
      <c r="E13" s="14"/>
      <c r="F13" s="14"/>
      <c r="G13" s="14"/>
      <c r="H13" s="14"/>
      <c r="I13" s="14"/>
      <c r="J13" s="14"/>
      <c r="K13" s="14"/>
      <c r="L13" s="14"/>
      <c r="M13" s="14"/>
      <c r="N13" s="245"/>
      <c r="O13" s="14"/>
      <c r="Y13" s="245"/>
    </row>
    <row r="14" spans="1:44" ht="9.75" customHeight="1" thickBo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AK14" s="9"/>
      <c r="AL14" s="9"/>
      <c r="AM14" s="9"/>
      <c r="AN14" s="9"/>
      <c r="AO14" s="9"/>
      <c r="AP14" s="9"/>
      <c r="AQ14" s="9"/>
      <c r="AR14" s="9"/>
    </row>
    <row r="15" spans="1:44" ht="15.75" thickBot="1">
      <c r="A15" s="646" t="s">
        <v>79</v>
      </c>
      <c r="B15" s="647"/>
      <c r="C15" s="647"/>
      <c r="D15" s="676"/>
      <c r="E15" s="439">
        <v>0</v>
      </c>
      <c r="F15" s="440">
        <v>1</v>
      </c>
      <c r="G15" s="440">
        <v>2</v>
      </c>
      <c r="H15" s="440">
        <v>3</v>
      </c>
      <c r="I15" s="440">
        <v>4</v>
      </c>
      <c r="J15" s="440">
        <v>5</v>
      </c>
      <c r="K15" s="440">
        <v>6</v>
      </c>
      <c r="L15" s="440">
        <v>7</v>
      </c>
      <c r="M15" s="440">
        <v>8</v>
      </c>
      <c r="N15" s="440">
        <v>9</v>
      </c>
      <c r="O15" s="440">
        <v>10</v>
      </c>
      <c r="P15" s="440">
        <v>11</v>
      </c>
      <c r="Q15" s="440">
        <v>12</v>
      </c>
      <c r="R15" s="440">
        <v>13</v>
      </c>
      <c r="S15" s="440">
        <v>14</v>
      </c>
      <c r="T15" s="440">
        <v>15</v>
      </c>
      <c r="U15" s="440">
        <v>16</v>
      </c>
      <c r="V15" s="440">
        <v>17</v>
      </c>
      <c r="W15" s="440">
        <v>18</v>
      </c>
      <c r="X15" s="440">
        <v>19</v>
      </c>
      <c r="Y15" s="440">
        <v>20</v>
      </c>
      <c r="Z15" s="440">
        <v>21</v>
      </c>
      <c r="AA15" s="440">
        <v>22</v>
      </c>
      <c r="AB15" s="440">
        <v>23</v>
      </c>
      <c r="AC15" s="440">
        <v>24</v>
      </c>
      <c r="AD15" s="440">
        <v>25</v>
      </c>
      <c r="AE15" s="440">
        <v>26</v>
      </c>
      <c r="AF15" s="440">
        <v>27</v>
      </c>
      <c r="AG15" s="440">
        <v>28</v>
      </c>
      <c r="AH15" s="440">
        <v>29</v>
      </c>
      <c r="AI15" s="440">
        <v>30</v>
      </c>
      <c r="AJ15" s="441">
        <v>31</v>
      </c>
      <c r="AK15" s="282"/>
      <c r="AL15" s="282"/>
      <c r="AM15" s="282"/>
      <c r="AN15" s="282"/>
      <c r="AO15" s="282"/>
      <c r="AP15" s="282"/>
      <c r="AQ15" s="282"/>
      <c r="AR15" s="282"/>
    </row>
    <row r="16" spans="1:44">
      <c r="A16" s="658" t="s">
        <v>225</v>
      </c>
      <c r="B16" s="659"/>
      <c r="C16" s="659"/>
      <c r="D16" s="659"/>
      <c r="E16" s="321"/>
      <c r="F16" s="268"/>
      <c r="G16" s="268"/>
      <c r="H16" s="268"/>
      <c r="I16" s="268"/>
      <c r="J16" s="268"/>
      <c r="K16" s="268"/>
      <c r="L16" s="268"/>
      <c r="M16" s="268"/>
      <c r="N16" s="268"/>
      <c r="O16" s="268"/>
      <c r="P16" s="268"/>
      <c r="Q16" s="268"/>
      <c r="R16" s="268"/>
      <c r="S16" s="268"/>
      <c r="T16" s="268"/>
      <c r="U16" s="268"/>
      <c r="V16" s="268"/>
      <c r="W16" s="268"/>
      <c r="X16" s="268"/>
      <c r="Y16" s="268"/>
      <c r="Z16" s="264"/>
      <c r="AA16" s="264"/>
      <c r="AB16" s="264"/>
      <c r="AC16" s="264"/>
      <c r="AD16" s="264"/>
      <c r="AE16" s="264"/>
      <c r="AF16" s="264"/>
      <c r="AG16" s="264"/>
      <c r="AH16" s="264"/>
      <c r="AI16" s="264"/>
      <c r="AJ16" s="269"/>
      <c r="AK16" s="9"/>
      <c r="AL16" s="9"/>
      <c r="AM16" s="9"/>
      <c r="AN16" s="9"/>
      <c r="AO16" s="9"/>
      <c r="AP16" s="9"/>
      <c r="AQ16" s="9"/>
      <c r="AR16" s="9"/>
    </row>
    <row r="17" spans="1:44">
      <c r="A17" s="363"/>
      <c r="B17" s="364" t="s">
        <v>234</v>
      </c>
      <c r="C17" s="365"/>
      <c r="D17" s="365"/>
      <c r="E17" s="324"/>
      <c r="F17" s="325">
        <f>INGRESOS!$I$37*F11</f>
        <v>2187462.97709148</v>
      </c>
      <c r="G17" s="325">
        <f>INGRESOS!$I$38*G11</f>
        <v>2186212.9772606432</v>
      </c>
      <c r="H17" s="325">
        <f>INGRESOS!$I$39*H11</f>
        <v>2184970.9777225396</v>
      </c>
      <c r="I17" s="325">
        <f>INGRESOS!$I$40*I11</f>
        <v>2183736.8252711948</v>
      </c>
      <c r="J17" s="325">
        <f>INGRESOS!$I$41*J11</f>
        <v>2182510.3697620346</v>
      </c>
      <c r="K17" s="325">
        <f>INGRESOS!$I$42*K11</f>
        <v>2181291.4640506604</v>
      </c>
      <c r="L17" s="325">
        <f>INGRESOS!$I$43*L11</f>
        <v>2180079.9639328397</v>
      </c>
      <c r="M17" s="325">
        <f>INGRESOS!$I$44*M11</f>
        <v>2178875.7280857097</v>
      </c>
      <c r="N17" s="325">
        <f>INGRESOS!$I$45*N11</f>
        <v>2177678.6180101503</v>
      </c>
      <c r="O17" s="325">
        <f>INGRESOS!$I$46*O11</f>
        <v>2176488.4979743073</v>
      </c>
      <c r="P17" s="325">
        <f>INGRESOS!$I$47*P11</f>
        <v>2175305.2349582519</v>
      </c>
      <c r="Q17" s="325">
        <f>INGRESOS!$I$48*Q11</f>
        <v>2174128.6985997399</v>
      </c>
      <c r="R17" s="325">
        <f>INGRESOS!$I$49*R11</f>
        <v>2172958.7611410622</v>
      </c>
      <c r="S17" s="325">
        <f>INGRESOS!$I$50*S11</f>
        <v>2171795.2973769517</v>
      </c>
      <c r="T17" s="325">
        <f>INGRESOS!$I$51*T11</f>
        <v>2170638.1846035402</v>
      </c>
      <c r="U17" s="325">
        <f>INGRESOS!$I$52*U11</f>
        <v>2169487.3025683281</v>
      </c>
      <c r="V17" s="325">
        <f>INGRESOS!$I$53*V11</f>
        <v>2168342.5334211574</v>
      </c>
      <c r="W17" s="325">
        <f>INGRESOS!$I$54*W11</f>
        <v>2167203.761666168</v>
      </c>
      <c r="X17" s="325">
        <f>INGRESOS!$I$55*X11</f>
        <v>2166070.8741147132</v>
      </c>
      <c r="Y17" s="325">
        <f>INGRESOS!$I$56*Y11</f>
        <v>2164943.7598392144</v>
      </c>
      <c r="Z17" s="37">
        <f>INGRESOS!$I$57*Z11</f>
        <v>2163822.3101279433</v>
      </c>
      <c r="AA17" s="37">
        <f>INGRESOS!$I$58*AA11</f>
        <v>2162706.4184407033</v>
      </c>
      <c r="AB17" s="37">
        <f>INGRESOS!$I$59*AB11</f>
        <v>2161595.9803654016</v>
      </c>
      <c r="AC17" s="37">
        <f>INGRESOS!$I$60*AC11</f>
        <v>2160490.8935754891</v>
      </c>
      <c r="AD17" s="37">
        <f>INGRESOS!$I$61*AD11</f>
        <v>2159391.0577882477</v>
      </c>
      <c r="AE17" s="37">
        <f>INGRESOS!$I$62*AE11</f>
        <v>2158296.3747239169</v>
      </c>
      <c r="AF17" s="37">
        <f>INGRESOS!$I$63*AF11</f>
        <v>2157206.748065637</v>
      </c>
      <c r="AG17" s="37">
        <f>INGRESOS!$I$64*AG11</f>
        <v>2156122.0834201877</v>
      </c>
      <c r="AH17" s="37">
        <f>INGRESOS!$I$65*AH11</f>
        <v>2155042.2882795213</v>
      </c>
      <c r="AI17" s="37">
        <f>INGRESOS!$I$66*AI11</f>
        <v>2153967.2719830568</v>
      </c>
      <c r="AJ17" s="344">
        <f>INGRESOS!$I$67*AJ11</f>
        <v>2152896.9456807342</v>
      </c>
      <c r="AK17" s="37"/>
      <c r="AL17" s="37"/>
      <c r="AM17" s="37"/>
      <c r="AN17" s="37"/>
      <c r="AO17" s="37"/>
      <c r="AP17" s="37"/>
      <c r="AQ17" s="37"/>
      <c r="AR17" s="37"/>
    </row>
    <row r="18" spans="1:44" ht="15.75" thickBot="1">
      <c r="A18" s="366" t="s">
        <v>226</v>
      </c>
      <c r="B18" s="367"/>
      <c r="C18" s="367"/>
      <c r="D18" s="367"/>
      <c r="E18" s="360">
        <f t="shared" ref="E18:AJ18" si="1">SUM(E17)</f>
        <v>0</v>
      </c>
      <c r="F18" s="359">
        <f t="shared" si="1"/>
        <v>2187462.97709148</v>
      </c>
      <c r="G18" s="359">
        <f t="shared" si="1"/>
        <v>2186212.9772606432</v>
      </c>
      <c r="H18" s="359">
        <f t="shared" si="1"/>
        <v>2184970.9777225396</v>
      </c>
      <c r="I18" s="359">
        <f t="shared" si="1"/>
        <v>2183736.8252711948</v>
      </c>
      <c r="J18" s="359">
        <f t="shared" si="1"/>
        <v>2182510.3697620346</v>
      </c>
      <c r="K18" s="359">
        <f t="shared" si="1"/>
        <v>2181291.4640506604</v>
      </c>
      <c r="L18" s="359">
        <f t="shared" si="1"/>
        <v>2180079.9639328397</v>
      </c>
      <c r="M18" s="359">
        <f t="shared" si="1"/>
        <v>2178875.7280857097</v>
      </c>
      <c r="N18" s="359">
        <f t="shared" si="1"/>
        <v>2177678.6180101503</v>
      </c>
      <c r="O18" s="359">
        <f t="shared" si="1"/>
        <v>2176488.4979743073</v>
      </c>
      <c r="P18" s="359">
        <f t="shared" si="1"/>
        <v>2175305.2349582519</v>
      </c>
      <c r="Q18" s="359">
        <f t="shared" si="1"/>
        <v>2174128.6985997399</v>
      </c>
      <c r="R18" s="359">
        <f t="shared" si="1"/>
        <v>2172958.7611410622</v>
      </c>
      <c r="S18" s="359">
        <f t="shared" si="1"/>
        <v>2171795.2973769517</v>
      </c>
      <c r="T18" s="359">
        <f>SUM(T17)</f>
        <v>2170638.1846035402</v>
      </c>
      <c r="U18" s="359">
        <f t="shared" si="1"/>
        <v>2169487.3025683281</v>
      </c>
      <c r="V18" s="359">
        <f t="shared" si="1"/>
        <v>2168342.5334211574</v>
      </c>
      <c r="W18" s="359">
        <f t="shared" si="1"/>
        <v>2167203.761666168</v>
      </c>
      <c r="X18" s="359">
        <f t="shared" si="1"/>
        <v>2166070.8741147132</v>
      </c>
      <c r="Y18" s="359">
        <f t="shared" si="1"/>
        <v>2164943.7598392144</v>
      </c>
      <c r="Z18" s="123">
        <f t="shared" si="1"/>
        <v>2163822.3101279433</v>
      </c>
      <c r="AA18" s="123">
        <f t="shared" si="1"/>
        <v>2162706.4184407033</v>
      </c>
      <c r="AB18" s="123">
        <f t="shared" si="1"/>
        <v>2161595.9803654016</v>
      </c>
      <c r="AC18" s="123">
        <f t="shared" si="1"/>
        <v>2160490.8935754891</v>
      </c>
      <c r="AD18" s="123">
        <f t="shared" si="1"/>
        <v>2159391.0577882477</v>
      </c>
      <c r="AE18" s="123">
        <f t="shared" si="1"/>
        <v>2158296.3747239169</v>
      </c>
      <c r="AF18" s="123">
        <f t="shared" si="1"/>
        <v>2157206.748065637</v>
      </c>
      <c r="AG18" s="123">
        <f t="shared" si="1"/>
        <v>2156122.0834201877</v>
      </c>
      <c r="AH18" s="123">
        <f t="shared" si="1"/>
        <v>2155042.2882795213</v>
      </c>
      <c r="AI18" s="123">
        <f t="shared" si="1"/>
        <v>2153967.2719830568</v>
      </c>
      <c r="AJ18" s="348">
        <f t="shared" si="1"/>
        <v>2152896.9456807342</v>
      </c>
    </row>
    <row r="19" spans="1:44">
      <c r="A19" s="658" t="s">
        <v>227</v>
      </c>
      <c r="B19" s="659"/>
      <c r="C19" s="659"/>
      <c r="D19" s="659"/>
      <c r="E19" s="321"/>
      <c r="F19" s="268"/>
      <c r="G19" s="268"/>
      <c r="H19" s="268"/>
      <c r="I19" s="268"/>
      <c r="J19" s="268"/>
      <c r="K19" s="268"/>
      <c r="L19" s="268"/>
      <c r="M19" s="268"/>
      <c r="N19" s="268"/>
      <c r="O19" s="268"/>
      <c r="P19" s="268"/>
      <c r="Q19" s="268"/>
      <c r="R19" s="268"/>
      <c r="S19" s="268"/>
      <c r="T19" s="268"/>
      <c r="U19" s="268"/>
      <c r="V19" s="268"/>
      <c r="W19" s="268"/>
      <c r="X19" s="268"/>
      <c r="Y19" s="268"/>
      <c r="Z19" s="264"/>
      <c r="AA19" s="264"/>
      <c r="AB19" s="264"/>
      <c r="AC19" s="264"/>
      <c r="AD19" s="264"/>
      <c r="AE19" s="264"/>
      <c r="AF19" s="264"/>
      <c r="AG19" s="264"/>
      <c r="AH19" s="264"/>
      <c r="AI19" s="264"/>
      <c r="AJ19" s="269"/>
    </row>
    <row r="20" spans="1:44">
      <c r="A20" s="436"/>
      <c r="B20" s="368" t="s">
        <v>461</v>
      </c>
      <c r="C20" s="437"/>
      <c r="D20" s="437"/>
      <c r="E20" s="323"/>
      <c r="F20" s="325">
        <f>EGRESOS!$I$35*F11</f>
        <v>1350390.7551915662</v>
      </c>
      <c r="G20" s="325">
        <f>EGRESOS!$I$36*G11</f>
        <v>1349475.5842494897</v>
      </c>
      <c r="H20" s="325">
        <f>EGRESOS!$I$37*H11</f>
        <v>1348568.2796685898</v>
      </c>
      <c r="I20" s="325">
        <f>EGRESOS!$I$38*I11</f>
        <v>1347668.6882964664</v>
      </c>
      <c r="J20" s="325">
        <f>EGRESOS!$I$39*J11</f>
        <v>1346776.6600420969</v>
      </c>
      <c r="K20" s="325">
        <f>EGRESOS!$I$40*K11</f>
        <v>1345892.0478146102</v>
      </c>
      <c r="L20" s="325">
        <f>EGRESOS!$I$41*L11</f>
        <v>1345014.7074632838</v>
      </c>
      <c r="M20" s="325">
        <f>EGRESOS!$I$42*M11</f>
        <v>1344144.4977187421</v>
      </c>
      <c r="N20" s="325">
        <f>EGRESOS!$I$43*N11</f>
        <v>1343281.2801353291</v>
      </c>
      <c r="O20" s="325">
        <f>EGRESOS!$I$44*O11</f>
        <v>1342424.9190346361</v>
      </c>
      <c r="P20" s="325">
        <f>EGRESOS!$I$45*P11</f>
        <v>1341575.2814501564</v>
      </c>
      <c r="Q20" s="325">
        <f>EGRESOS!$I$46*Q11</f>
        <v>1340732.2370730476</v>
      </c>
      <c r="R20" s="325">
        <f>EGRESOS!$I$47*R11</f>
        <v>1339895.6581989801</v>
      </c>
      <c r="S20" s="325">
        <f>EGRESOS!$I$48*S11</f>
        <v>1339065.4196760473</v>
      </c>
      <c r="T20" s="325">
        <f>EGRESOS!$I$49*T11</f>
        <v>1338241.3988537164</v>
      </c>
      <c r="U20" s="325">
        <f>EGRESOS!$I$50*U11</f>
        <v>1337423.4755328039</v>
      </c>
      <c r="V20" s="325">
        <f>EGRESOS!$I$51*V11</f>
        <v>1336611.531916447</v>
      </c>
      <c r="W20" s="325">
        <f>EGRESOS!$I$52*W11</f>
        <v>1335805.4525620597</v>
      </c>
      <c r="X20" s="325">
        <f>EGRESOS!$I$53*X11</f>
        <v>1335005.1243342462</v>
      </c>
      <c r="Y20" s="325">
        <f>EGRESOS!$I$54*Y11</f>
        <v>1334210.43635866</v>
      </c>
      <c r="Z20" s="37">
        <f>EGRESOS!$I$55*Z11</f>
        <v>1333421.279976781</v>
      </c>
      <c r="AA20" s="37">
        <f>EGRESOS!$I$56*AA11</f>
        <v>1332637.5487016013</v>
      </c>
      <c r="AB20" s="37">
        <f>EGRESOS!$I$57*AB11</f>
        <v>1331859.1381741955</v>
      </c>
      <c r="AC20" s="37">
        <f>EGRESOS!$I$58*AC11</f>
        <v>1331085.9461211592</v>
      </c>
      <c r="AD20" s="37">
        <f>EGRESOS!$I$59*AD11</f>
        <v>1330317.8723128997</v>
      </c>
      <c r="AE20" s="37">
        <f>EGRESOS!$I$60*AE11</f>
        <v>1329554.8185227595</v>
      </c>
      <c r="AF20" s="37">
        <f>EGRESOS!$I$61*AF11</f>
        <v>1328796.6884869596</v>
      </c>
      <c r="AG20" s="37">
        <f>EGRESOS!$I$62*AG11</f>
        <v>1328043.387865342</v>
      </c>
      <c r="AH20" s="37">
        <f>EGRESOS!$I$63*AH11</f>
        <v>1327294.8242028973</v>
      </c>
      <c r="AI20" s="37">
        <f>EGRESOS!$I$64*AI11</f>
        <v>1326550.9068920638</v>
      </c>
      <c r="AJ20" s="344">
        <f>EGRESOS!$I$65*AJ11</f>
        <v>1325811.5471357775</v>
      </c>
    </row>
    <row r="21" spans="1:44">
      <c r="A21" s="363"/>
      <c r="B21" s="365" t="s">
        <v>459</v>
      </c>
      <c r="C21" s="365"/>
      <c r="D21" s="365"/>
      <c r="E21" s="323">
        <v>0</v>
      </c>
      <c r="F21" s="325">
        <f t="shared" ref="F21:AJ21" si="2">F17*$J$6</f>
        <v>21874.629770914802</v>
      </c>
      <c r="G21" s="325">
        <f t="shared" si="2"/>
        <v>21862.129772606433</v>
      </c>
      <c r="H21" s="325">
        <f t="shared" si="2"/>
        <v>21849.709777225395</v>
      </c>
      <c r="I21" s="325">
        <f t="shared" si="2"/>
        <v>21837.368252711949</v>
      </c>
      <c r="J21" s="325">
        <f t="shared" si="2"/>
        <v>21825.103697620347</v>
      </c>
      <c r="K21" s="325">
        <f t="shared" si="2"/>
        <v>21812.914640506606</v>
      </c>
      <c r="L21" s="325">
        <f t="shared" si="2"/>
        <v>21800.799639328397</v>
      </c>
      <c r="M21" s="325">
        <f t="shared" si="2"/>
        <v>21788.757280857099</v>
      </c>
      <c r="N21" s="325">
        <f t="shared" si="2"/>
        <v>21776.786180101502</v>
      </c>
      <c r="O21" s="325">
        <f t="shared" si="2"/>
        <v>21764.884979743074</v>
      </c>
      <c r="P21" s="325">
        <f t="shared" si="2"/>
        <v>21753.052349582518</v>
      </c>
      <c r="Q21" s="325">
        <f t="shared" si="2"/>
        <v>21741.286985997398</v>
      </c>
      <c r="R21" s="325">
        <f t="shared" si="2"/>
        <v>21729.587611410621</v>
      </c>
      <c r="S21" s="325">
        <f t="shared" si="2"/>
        <v>21717.952973769516</v>
      </c>
      <c r="T21" s="325">
        <f t="shared" si="2"/>
        <v>21706.381846035401</v>
      </c>
      <c r="U21" s="325">
        <f t="shared" si="2"/>
        <v>21694.873025683282</v>
      </c>
      <c r="V21" s="325">
        <f t="shared" si="2"/>
        <v>21683.425334211573</v>
      </c>
      <c r="W21" s="325">
        <f t="shared" si="2"/>
        <v>21672.037616661681</v>
      </c>
      <c r="X21" s="325">
        <f t="shared" si="2"/>
        <v>21660.708741147133</v>
      </c>
      <c r="Y21" s="325">
        <f t="shared" si="2"/>
        <v>21649.437598392145</v>
      </c>
      <c r="Z21" s="37">
        <f t="shared" si="2"/>
        <v>21638.223101279433</v>
      </c>
      <c r="AA21" s="37">
        <f t="shared" si="2"/>
        <v>21627.064184407034</v>
      </c>
      <c r="AB21" s="37">
        <f t="shared" si="2"/>
        <v>21615.959803654016</v>
      </c>
      <c r="AC21" s="37">
        <f t="shared" si="2"/>
        <v>21604.908935754891</v>
      </c>
      <c r="AD21" s="37">
        <f t="shared" si="2"/>
        <v>21593.910577882478</v>
      </c>
      <c r="AE21" s="37">
        <f t="shared" si="2"/>
        <v>21582.96374723917</v>
      </c>
      <c r="AF21" s="37">
        <f t="shared" si="2"/>
        <v>21572.067480656369</v>
      </c>
      <c r="AG21" s="37">
        <f t="shared" si="2"/>
        <v>21561.220834201878</v>
      </c>
      <c r="AH21" s="37">
        <f t="shared" si="2"/>
        <v>21550.422882795214</v>
      </c>
      <c r="AI21" s="37">
        <f t="shared" si="2"/>
        <v>21539.672719830567</v>
      </c>
      <c r="AJ21" s="344">
        <f t="shared" si="2"/>
        <v>21528.969456807343</v>
      </c>
    </row>
    <row r="22" spans="1:44">
      <c r="A22" s="363"/>
      <c r="B22" s="365" t="s">
        <v>460</v>
      </c>
      <c r="C22" s="365"/>
      <c r="D22" s="365"/>
      <c r="E22" s="323"/>
      <c r="F22" s="325">
        <f t="shared" ref="F22:AJ22" si="3">F17*$J$7</f>
        <v>21874.629770914802</v>
      </c>
      <c r="G22" s="325">
        <f t="shared" si="3"/>
        <v>21862.129772606433</v>
      </c>
      <c r="H22" s="325">
        <f t="shared" si="3"/>
        <v>21849.709777225395</v>
      </c>
      <c r="I22" s="325">
        <f t="shared" si="3"/>
        <v>21837.368252711949</v>
      </c>
      <c r="J22" s="325">
        <f t="shared" si="3"/>
        <v>21825.103697620347</v>
      </c>
      <c r="K22" s="325">
        <f t="shared" si="3"/>
        <v>21812.914640506606</v>
      </c>
      <c r="L22" s="325">
        <f t="shared" si="3"/>
        <v>21800.799639328397</v>
      </c>
      <c r="M22" s="325">
        <f t="shared" si="3"/>
        <v>21788.757280857099</v>
      </c>
      <c r="N22" s="325">
        <f t="shared" si="3"/>
        <v>21776.786180101502</v>
      </c>
      <c r="O22" s="325">
        <f t="shared" si="3"/>
        <v>21764.884979743074</v>
      </c>
      <c r="P22" s="325">
        <f t="shared" si="3"/>
        <v>21753.052349582518</v>
      </c>
      <c r="Q22" s="325">
        <f t="shared" si="3"/>
        <v>21741.286985997398</v>
      </c>
      <c r="R22" s="325">
        <f t="shared" si="3"/>
        <v>21729.587611410621</v>
      </c>
      <c r="S22" s="325">
        <f t="shared" si="3"/>
        <v>21717.952973769516</v>
      </c>
      <c r="T22" s="325">
        <f t="shared" si="3"/>
        <v>21706.381846035401</v>
      </c>
      <c r="U22" s="325">
        <f t="shared" si="3"/>
        <v>21694.873025683282</v>
      </c>
      <c r="V22" s="325">
        <f t="shared" si="3"/>
        <v>21683.425334211573</v>
      </c>
      <c r="W22" s="325">
        <f t="shared" si="3"/>
        <v>21672.037616661681</v>
      </c>
      <c r="X22" s="325">
        <f t="shared" si="3"/>
        <v>21660.708741147133</v>
      </c>
      <c r="Y22" s="325">
        <f t="shared" si="3"/>
        <v>21649.437598392145</v>
      </c>
      <c r="Z22" s="37">
        <f t="shared" si="3"/>
        <v>21638.223101279433</v>
      </c>
      <c r="AA22" s="37">
        <f t="shared" si="3"/>
        <v>21627.064184407034</v>
      </c>
      <c r="AB22" s="37">
        <f t="shared" si="3"/>
        <v>21615.959803654016</v>
      </c>
      <c r="AC22" s="37">
        <f t="shared" si="3"/>
        <v>21604.908935754891</v>
      </c>
      <c r="AD22" s="37">
        <f t="shared" si="3"/>
        <v>21593.910577882478</v>
      </c>
      <c r="AE22" s="37">
        <f t="shared" si="3"/>
        <v>21582.96374723917</v>
      </c>
      <c r="AF22" s="37">
        <f t="shared" si="3"/>
        <v>21572.067480656369</v>
      </c>
      <c r="AG22" s="37">
        <f t="shared" si="3"/>
        <v>21561.220834201878</v>
      </c>
      <c r="AH22" s="37">
        <f t="shared" si="3"/>
        <v>21550.422882795214</v>
      </c>
      <c r="AI22" s="37">
        <f t="shared" si="3"/>
        <v>21539.672719830567</v>
      </c>
      <c r="AJ22" s="344">
        <f t="shared" si="3"/>
        <v>21528.969456807343</v>
      </c>
    </row>
    <row r="23" spans="1:44" ht="15.75" thickBot="1">
      <c r="A23" s="363"/>
      <c r="B23" s="365" t="s">
        <v>233</v>
      </c>
      <c r="C23" s="365"/>
      <c r="D23" s="365"/>
      <c r="E23" s="324">
        <f>E6</f>
        <v>5192411.1998804212</v>
      </c>
      <c r="F23" s="10"/>
      <c r="G23" s="10"/>
      <c r="H23" s="10"/>
      <c r="I23" s="10"/>
      <c r="J23" s="10"/>
      <c r="K23" s="10"/>
      <c r="L23" s="10"/>
      <c r="M23" s="10"/>
      <c r="N23" s="10"/>
      <c r="O23" s="10"/>
      <c r="P23" s="10"/>
      <c r="Q23" s="10"/>
      <c r="R23" s="10"/>
      <c r="S23" s="10"/>
      <c r="T23" s="10"/>
      <c r="U23" s="10"/>
      <c r="V23" s="10"/>
      <c r="W23" s="10"/>
      <c r="X23" s="10"/>
      <c r="Y23" s="10"/>
      <c r="Z23" s="9"/>
      <c r="AA23" s="9"/>
      <c r="AB23" s="9"/>
      <c r="AC23" s="9"/>
      <c r="AD23" s="9"/>
      <c r="AE23" s="9"/>
      <c r="AF23" s="9"/>
      <c r="AG23" s="9"/>
      <c r="AH23" s="9"/>
      <c r="AI23" s="9"/>
      <c r="AJ23" s="339"/>
    </row>
    <row r="24" spans="1:44" ht="15.75" thickBot="1">
      <c r="A24" s="660" t="s">
        <v>228</v>
      </c>
      <c r="B24" s="661"/>
      <c r="C24" s="661"/>
      <c r="D24" s="661"/>
      <c r="E24" s="361">
        <f>SUM(E21:E23)</f>
        <v>5192411.1998804212</v>
      </c>
      <c r="F24" s="362">
        <f>SUM(F20:F23)</f>
        <v>1394140.0147333958</v>
      </c>
      <c r="G24" s="362">
        <f>SUM(G20:G23)</f>
        <v>1393199.8437947028</v>
      </c>
      <c r="H24" s="362">
        <f t="shared" ref="H24:AJ24" si="4">SUM(H20:H23)</f>
        <v>1392267.6992230408</v>
      </c>
      <c r="I24" s="362">
        <f t="shared" si="4"/>
        <v>1391343.42480189</v>
      </c>
      <c r="J24" s="362">
        <f t="shared" si="4"/>
        <v>1390426.8674373375</v>
      </c>
      <c r="K24" s="362">
        <f t="shared" si="4"/>
        <v>1389517.8770956232</v>
      </c>
      <c r="L24" s="362">
        <f t="shared" si="4"/>
        <v>1388616.3067419406</v>
      </c>
      <c r="M24" s="362">
        <f t="shared" si="4"/>
        <v>1387722.0122804563</v>
      </c>
      <c r="N24" s="362">
        <f t="shared" si="4"/>
        <v>1386834.8524955323</v>
      </c>
      <c r="O24" s="362">
        <f t="shared" si="4"/>
        <v>1385954.6889941222</v>
      </c>
      <c r="P24" s="362">
        <f t="shared" si="4"/>
        <v>1385081.3861493214</v>
      </c>
      <c r="Q24" s="362">
        <f t="shared" si="4"/>
        <v>1384214.8110450422</v>
      </c>
      <c r="R24" s="362">
        <f t="shared" si="4"/>
        <v>1383354.8334218012</v>
      </c>
      <c r="S24" s="362">
        <f t="shared" si="4"/>
        <v>1382501.3256235863</v>
      </c>
      <c r="T24" s="362">
        <f t="shared" si="4"/>
        <v>1381654.1625457872</v>
      </c>
      <c r="U24" s="362">
        <f t="shared" si="4"/>
        <v>1380813.2215841704</v>
      </c>
      <c r="V24" s="362">
        <f t="shared" si="4"/>
        <v>1379978.3825848703</v>
      </c>
      <c r="W24" s="362">
        <f t="shared" si="4"/>
        <v>1379149.5277953832</v>
      </c>
      <c r="X24" s="362">
        <f t="shared" si="4"/>
        <v>1378326.5418165403</v>
      </c>
      <c r="Y24" s="362">
        <f t="shared" si="4"/>
        <v>1377509.3115554443</v>
      </c>
      <c r="Z24" s="354">
        <f t="shared" si="4"/>
        <v>1376697.7261793399</v>
      </c>
      <c r="AA24" s="354">
        <f t="shared" si="4"/>
        <v>1375891.6770704153</v>
      </c>
      <c r="AB24" s="354">
        <f t="shared" si="4"/>
        <v>1375091.0577815038</v>
      </c>
      <c r="AC24" s="354">
        <f t="shared" si="4"/>
        <v>1374295.7639926688</v>
      </c>
      <c r="AD24" s="354">
        <f t="shared" si="4"/>
        <v>1373505.6934686648</v>
      </c>
      <c r="AE24" s="354">
        <f t="shared" si="4"/>
        <v>1372720.7460172379</v>
      </c>
      <c r="AF24" s="354">
        <f t="shared" si="4"/>
        <v>1371940.8234482722</v>
      </c>
      <c r="AG24" s="354">
        <f t="shared" si="4"/>
        <v>1371165.8295337458</v>
      </c>
      <c r="AH24" s="354">
        <f t="shared" si="4"/>
        <v>1370395.6699684875</v>
      </c>
      <c r="AI24" s="354">
        <f t="shared" si="4"/>
        <v>1369630.2523317251</v>
      </c>
      <c r="AJ24" s="355">
        <f t="shared" si="4"/>
        <v>1368869.486049392</v>
      </c>
    </row>
    <row r="25" spans="1:44" ht="15.75" thickBot="1">
      <c r="A25" s="662" t="s">
        <v>462</v>
      </c>
      <c r="B25" s="663"/>
      <c r="C25" s="663"/>
      <c r="D25" s="664"/>
      <c r="E25" s="361">
        <f t="shared" ref="E25:AJ25" si="5">E18-E24</f>
        <v>-5192411.1998804212</v>
      </c>
      <c r="F25" s="362">
        <f>F18-F24</f>
        <v>793322.96235808427</v>
      </c>
      <c r="G25" s="362">
        <f t="shared" si="5"/>
        <v>793013.13346594037</v>
      </c>
      <c r="H25" s="362">
        <f t="shared" si="5"/>
        <v>792703.27849949873</v>
      </c>
      <c r="I25" s="362">
        <f t="shared" si="5"/>
        <v>792393.40046930476</v>
      </c>
      <c r="J25" s="362">
        <f t="shared" si="5"/>
        <v>792083.5023246971</v>
      </c>
      <c r="K25" s="362">
        <f t="shared" si="5"/>
        <v>791773.5869550372</v>
      </c>
      <c r="L25" s="362">
        <f t="shared" si="5"/>
        <v>791463.65719089913</v>
      </c>
      <c r="M25" s="362">
        <f t="shared" si="5"/>
        <v>791153.71580525348</v>
      </c>
      <c r="N25" s="362">
        <f t="shared" si="5"/>
        <v>790843.76551461802</v>
      </c>
      <c r="O25" s="362">
        <f t="shared" si="5"/>
        <v>790533.80898018507</v>
      </c>
      <c r="P25" s="362">
        <f t="shared" si="5"/>
        <v>790223.84880893049</v>
      </c>
      <c r="Q25" s="362">
        <f t="shared" si="5"/>
        <v>789913.88755469769</v>
      </c>
      <c r="R25" s="362">
        <f t="shared" si="5"/>
        <v>789603.92771926103</v>
      </c>
      <c r="S25" s="362">
        <f t="shared" si="5"/>
        <v>789293.97175336536</v>
      </c>
      <c r="T25" s="362">
        <f t="shared" si="5"/>
        <v>788984.02205775306</v>
      </c>
      <c r="U25" s="362">
        <f t="shared" si="5"/>
        <v>788674.08098415774</v>
      </c>
      <c r="V25" s="362">
        <f t="shared" si="5"/>
        <v>788364.15083628707</v>
      </c>
      <c r="W25" s="362">
        <f t="shared" si="5"/>
        <v>788054.23387078475</v>
      </c>
      <c r="X25" s="362">
        <f t="shared" si="5"/>
        <v>787744.33229817287</v>
      </c>
      <c r="Y25" s="362">
        <f t="shared" si="5"/>
        <v>787434.44828377012</v>
      </c>
      <c r="Z25" s="354">
        <f t="shared" si="5"/>
        <v>787124.58394860337</v>
      </c>
      <c r="AA25" s="354">
        <f t="shared" si="5"/>
        <v>786814.74137028796</v>
      </c>
      <c r="AB25" s="354">
        <f t="shared" si="5"/>
        <v>786504.92258389783</v>
      </c>
      <c r="AC25" s="354">
        <f t="shared" si="5"/>
        <v>786195.12958282023</v>
      </c>
      <c r="AD25" s="354">
        <f t="shared" si="5"/>
        <v>785885.36431958294</v>
      </c>
      <c r="AE25" s="354">
        <f t="shared" si="5"/>
        <v>785575.62870667898</v>
      </c>
      <c r="AF25" s="354">
        <f t="shared" si="5"/>
        <v>785265.92461736477</v>
      </c>
      <c r="AG25" s="354">
        <f t="shared" si="5"/>
        <v>784956.25388644193</v>
      </c>
      <c r="AH25" s="354">
        <f t="shared" si="5"/>
        <v>784646.61831103382</v>
      </c>
      <c r="AI25" s="354">
        <f t="shared" si="5"/>
        <v>784337.01965133171</v>
      </c>
      <c r="AJ25" s="355">
        <f t="shared" si="5"/>
        <v>784027.45963134221</v>
      </c>
    </row>
    <row r="26" spans="1:44">
      <c r="A26" s="369" t="s">
        <v>229</v>
      </c>
      <c r="B26" s="370"/>
      <c r="C26" s="370"/>
      <c r="D26" s="370"/>
      <c r="E26" s="329">
        <f>E25</f>
        <v>-5192411.1998804212</v>
      </c>
      <c r="F26" s="330">
        <f>F25</f>
        <v>793322.96235808427</v>
      </c>
      <c r="G26" s="330">
        <f t="shared" ref="G26:AJ26" si="6">G25</f>
        <v>793013.13346594037</v>
      </c>
      <c r="H26" s="330">
        <f t="shared" si="6"/>
        <v>792703.27849949873</v>
      </c>
      <c r="I26" s="330">
        <f t="shared" si="6"/>
        <v>792393.40046930476</v>
      </c>
      <c r="J26" s="330">
        <f t="shared" si="6"/>
        <v>792083.5023246971</v>
      </c>
      <c r="K26" s="330">
        <f t="shared" si="6"/>
        <v>791773.5869550372</v>
      </c>
      <c r="L26" s="330">
        <f t="shared" si="6"/>
        <v>791463.65719089913</v>
      </c>
      <c r="M26" s="330">
        <f t="shared" si="6"/>
        <v>791153.71580525348</v>
      </c>
      <c r="N26" s="330">
        <f t="shared" si="6"/>
        <v>790843.76551461802</v>
      </c>
      <c r="O26" s="330">
        <f t="shared" si="6"/>
        <v>790533.80898018507</v>
      </c>
      <c r="P26" s="330">
        <f t="shared" si="6"/>
        <v>790223.84880893049</v>
      </c>
      <c r="Q26" s="330">
        <f t="shared" si="6"/>
        <v>789913.88755469769</v>
      </c>
      <c r="R26" s="330">
        <f t="shared" si="6"/>
        <v>789603.92771926103</v>
      </c>
      <c r="S26" s="330">
        <f t="shared" si="6"/>
        <v>789293.97175336536</v>
      </c>
      <c r="T26" s="330">
        <f t="shared" si="6"/>
        <v>788984.02205775306</v>
      </c>
      <c r="U26" s="330">
        <f t="shared" si="6"/>
        <v>788674.08098415774</v>
      </c>
      <c r="V26" s="330">
        <f t="shared" si="6"/>
        <v>788364.15083628707</v>
      </c>
      <c r="W26" s="330">
        <f t="shared" si="6"/>
        <v>788054.23387078475</v>
      </c>
      <c r="X26" s="330">
        <f t="shared" si="6"/>
        <v>787744.33229817287</v>
      </c>
      <c r="Y26" s="330">
        <f t="shared" si="6"/>
        <v>787434.44828377012</v>
      </c>
      <c r="Z26" s="357">
        <f t="shared" si="6"/>
        <v>787124.58394860337</v>
      </c>
      <c r="AA26" s="357">
        <f t="shared" si="6"/>
        <v>786814.74137028796</v>
      </c>
      <c r="AB26" s="357">
        <f t="shared" si="6"/>
        <v>786504.92258389783</v>
      </c>
      <c r="AC26" s="357">
        <f t="shared" si="6"/>
        <v>786195.12958282023</v>
      </c>
      <c r="AD26" s="357">
        <f t="shared" si="6"/>
        <v>785885.36431958294</v>
      </c>
      <c r="AE26" s="357">
        <f t="shared" si="6"/>
        <v>785575.62870667898</v>
      </c>
      <c r="AF26" s="357">
        <f t="shared" si="6"/>
        <v>785265.92461736477</v>
      </c>
      <c r="AG26" s="357">
        <f t="shared" si="6"/>
        <v>784956.25388644193</v>
      </c>
      <c r="AH26" s="357">
        <f t="shared" si="6"/>
        <v>784646.61831103382</v>
      </c>
      <c r="AI26" s="357">
        <f t="shared" si="6"/>
        <v>784337.01965133171</v>
      </c>
      <c r="AJ26" s="358">
        <f t="shared" si="6"/>
        <v>784027.45963134221</v>
      </c>
    </row>
    <row r="27" spans="1:44">
      <c r="A27" s="363" t="s">
        <v>230</v>
      </c>
      <c r="B27" s="365"/>
      <c r="C27" s="365"/>
      <c r="D27" s="371">
        <v>0.35</v>
      </c>
      <c r="E27" s="323">
        <f>IF(E26&lt;0,0,E26*$D$27)</f>
        <v>0</v>
      </c>
      <c r="F27" s="325">
        <f>F26*$D$27</f>
        <v>277663.03682532947</v>
      </c>
      <c r="G27" s="325">
        <f t="shared" ref="G27:AJ27" si="7">G26*$D$27</f>
        <v>277554.59671307908</v>
      </c>
      <c r="H27" s="325">
        <f>H26*$D$27</f>
        <v>277446.14747482451</v>
      </c>
      <c r="I27" s="325">
        <f t="shared" si="7"/>
        <v>277337.69016425667</v>
      </c>
      <c r="J27" s="325">
        <f t="shared" si="7"/>
        <v>277229.22581364395</v>
      </c>
      <c r="K27" s="325">
        <f t="shared" si="7"/>
        <v>277120.75543426297</v>
      </c>
      <c r="L27" s="325">
        <f t="shared" si="7"/>
        <v>277012.28001681465</v>
      </c>
      <c r="M27" s="325">
        <f t="shared" si="7"/>
        <v>276903.80053183867</v>
      </c>
      <c r="N27" s="325">
        <f t="shared" si="7"/>
        <v>276795.31793011626</v>
      </c>
      <c r="O27" s="325">
        <f t="shared" si="7"/>
        <v>276686.83314306475</v>
      </c>
      <c r="P27" s="325">
        <f t="shared" si="7"/>
        <v>276578.34708312567</v>
      </c>
      <c r="Q27" s="325">
        <f t="shared" si="7"/>
        <v>276469.86064414418</v>
      </c>
      <c r="R27" s="325">
        <f t="shared" si="7"/>
        <v>276361.37470174133</v>
      </c>
      <c r="S27" s="325">
        <f t="shared" si="7"/>
        <v>276252.89011367783</v>
      </c>
      <c r="T27" s="325">
        <f t="shared" si="7"/>
        <v>276144.40772021352</v>
      </c>
      <c r="U27" s="325">
        <f t="shared" si="7"/>
        <v>276035.9283444552</v>
      </c>
      <c r="V27" s="325">
        <f t="shared" si="7"/>
        <v>275927.45279270044</v>
      </c>
      <c r="W27" s="325">
        <f t="shared" si="7"/>
        <v>275818.98185477464</v>
      </c>
      <c r="X27" s="325">
        <f t="shared" si="7"/>
        <v>275710.51630436047</v>
      </c>
      <c r="Y27" s="325">
        <f t="shared" si="7"/>
        <v>275602.05689931952</v>
      </c>
      <c r="Z27" s="37">
        <f t="shared" si="7"/>
        <v>275493.60438201117</v>
      </c>
      <c r="AA27" s="37">
        <f t="shared" si="7"/>
        <v>275385.15947960078</v>
      </c>
      <c r="AB27" s="37">
        <f t="shared" si="7"/>
        <v>275276.72290436423</v>
      </c>
      <c r="AC27" s="37">
        <f t="shared" si="7"/>
        <v>275168.29535398708</v>
      </c>
      <c r="AD27" s="37">
        <f t="shared" si="7"/>
        <v>275059.87751185399</v>
      </c>
      <c r="AE27" s="37">
        <f t="shared" si="7"/>
        <v>274951.47004733764</v>
      </c>
      <c r="AF27" s="37">
        <f t="shared" si="7"/>
        <v>274843.07361607766</v>
      </c>
      <c r="AG27" s="37">
        <f t="shared" si="7"/>
        <v>274734.68886025465</v>
      </c>
      <c r="AH27" s="37">
        <f t="shared" si="7"/>
        <v>274626.31640886184</v>
      </c>
      <c r="AI27" s="37">
        <f t="shared" si="7"/>
        <v>274517.95687796606</v>
      </c>
      <c r="AJ27" s="344">
        <f t="shared" si="7"/>
        <v>274409.61087096977</v>
      </c>
    </row>
    <row r="28" spans="1:44" ht="15.75" thickBot="1">
      <c r="A28" s="372" t="s">
        <v>231</v>
      </c>
      <c r="B28" s="367"/>
      <c r="C28" s="367"/>
      <c r="D28" s="367"/>
      <c r="E28" s="323"/>
      <c r="F28" s="10"/>
      <c r="G28" s="10"/>
      <c r="H28" s="10"/>
      <c r="I28" s="10"/>
      <c r="J28" s="10"/>
      <c r="K28" s="10"/>
      <c r="L28" s="10"/>
      <c r="M28" s="10"/>
      <c r="N28" s="10"/>
      <c r="O28" s="10"/>
      <c r="P28" s="10"/>
      <c r="Q28" s="10"/>
      <c r="R28" s="10"/>
      <c r="S28" s="10"/>
      <c r="T28" s="10"/>
      <c r="U28" s="10"/>
      <c r="V28" s="10"/>
      <c r="W28" s="10"/>
      <c r="X28" s="10"/>
      <c r="Y28" s="10"/>
      <c r="Z28" s="9"/>
      <c r="AA28" s="9"/>
      <c r="AB28" s="9"/>
      <c r="AC28" s="9"/>
      <c r="AD28" s="9"/>
      <c r="AE28" s="9"/>
      <c r="AF28" s="9"/>
      <c r="AG28" s="9"/>
      <c r="AH28" s="9"/>
      <c r="AI28" s="9"/>
      <c r="AJ28" s="339"/>
    </row>
    <row r="29" spans="1:44" ht="15.75" thickBot="1">
      <c r="A29" s="653" t="s">
        <v>232</v>
      </c>
      <c r="B29" s="654"/>
      <c r="C29" s="654"/>
      <c r="D29" s="654"/>
      <c r="E29" s="326">
        <f>E25-E27</f>
        <v>-5192411.1998804212</v>
      </c>
      <c r="F29" s="327">
        <f>F25-F27</f>
        <v>515659.9255327548</v>
      </c>
      <c r="G29" s="327">
        <f t="shared" ref="G29:AJ29" si="8">G25-G27</f>
        <v>515458.53675286128</v>
      </c>
      <c r="H29" s="327">
        <f t="shared" si="8"/>
        <v>515257.13102467422</v>
      </c>
      <c r="I29" s="327">
        <f t="shared" si="8"/>
        <v>515055.71030504809</v>
      </c>
      <c r="J29" s="327">
        <f t="shared" si="8"/>
        <v>514854.27651105315</v>
      </c>
      <c r="K29" s="327">
        <f t="shared" si="8"/>
        <v>514652.83152077423</v>
      </c>
      <c r="L29" s="327">
        <f t="shared" si="8"/>
        <v>514451.37717408448</v>
      </c>
      <c r="M29" s="327">
        <f t="shared" si="8"/>
        <v>514249.91527341481</v>
      </c>
      <c r="N29" s="327">
        <f t="shared" si="8"/>
        <v>514048.44758450176</v>
      </c>
      <c r="O29" s="327">
        <f t="shared" si="8"/>
        <v>513846.97583712032</v>
      </c>
      <c r="P29" s="327">
        <f t="shared" si="8"/>
        <v>513645.50172580482</v>
      </c>
      <c r="Q29" s="327">
        <f t="shared" si="8"/>
        <v>513444.02691055351</v>
      </c>
      <c r="R29" s="327">
        <f t="shared" si="8"/>
        <v>513242.55301751971</v>
      </c>
      <c r="S29" s="327">
        <f t="shared" si="8"/>
        <v>513041.08163968753</v>
      </c>
      <c r="T29" s="327">
        <f t="shared" si="8"/>
        <v>512839.61433753953</v>
      </c>
      <c r="U29" s="327">
        <f t="shared" si="8"/>
        <v>512638.15263970254</v>
      </c>
      <c r="V29" s="327">
        <f t="shared" si="8"/>
        <v>512436.69804358663</v>
      </c>
      <c r="W29" s="327">
        <f t="shared" si="8"/>
        <v>512235.25201601011</v>
      </c>
      <c r="X29" s="327">
        <f t="shared" si="8"/>
        <v>512033.8159938124</v>
      </c>
      <c r="Y29" s="327">
        <f t="shared" si="8"/>
        <v>511832.3913844506</v>
      </c>
      <c r="Z29" s="351">
        <f t="shared" si="8"/>
        <v>511630.9795665922</v>
      </c>
      <c r="AA29" s="351">
        <f t="shared" si="8"/>
        <v>511429.58189068717</v>
      </c>
      <c r="AB29" s="351">
        <f t="shared" si="8"/>
        <v>511228.1996795336</v>
      </c>
      <c r="AC29" s="351">
        <f t="shared" si="8"/>
        <v>511026.83422883315</v>
      </c>
      <c r="AD29" s="351">
        <f t="shared" si="8"/>
        <v>510825.48680772894</v>
      </c>
      <c r="AE29" s="351">
        <f t="shared" si="8"/>
        <v>510624.15865934134</v>
      </c>
      <c r="AF29" s="351">
        <f t="shared" si="8"/>
        <v>510422.85100128711</v>
      </c>
      <c r="AG29" s="351">
        <f t="shared" si="8"/>
        <v>510221.56502618728</v>
      </c>
      <c r="AH29" s="351">
        <f t="shared" si="8"/>
        <v>510020.30190217198</v>
      </c>
      <c r="AI29" s="351">
        <f t="shared" si="8"/>
        <v>509819.06277336564</v>
      </c>
      <c r="AJ29" s="352">
        <f t="shared" si="8"/>
        <v>509617.84876037244</v>
      </c>
    </row>
    <row r="30" spans="1:44" ht="15.75" hidden="1" thickBot="1">
      <c r="A30" s="373"/>
      <c r="B30" s="373"/>
      <c r="C30" s="373"/>
      <c r="D30" s="373"/>
      <c r="E30" s="14"/>
      <c r="F30" s="14"/>
      <c r="G30" s="14"/>
      <c r="H30" s="14"/>
      <c r="I30" s="14"/>
      <c r="J30" s="14"/>
      <c r="K30" s="14"/>
      <c r="L30" s="14"/>
      <c r="M30" s="14"/>
      <c r="N30" s="14"/>
      <c r="O30" s="14"/>
      <c r="P30" s="14"/>
      <c r="Q30" s="14"/>
      <c r="R30" s="14"/>
      <c r="S30" s="14"/>
      <c r="T30" s="14"/>
      <c r="U30" s="14"/>
      <c r="V30" s="14"/>
      <c r="W30" s="14"/>
      <c r="X30" s="14"/>
      <c r="Y30" s="14"/>
    </row>
    <row r="31" spans="1:44" ht="15.75" hidden="1" thickBot="1">
      <c r="A31" s="373"/>
      <c r="B31" s="373"/>
      <c r="C31" s="373"/>
      <c r="D31" s="373"/>
      <c r="E31" s="257" t="s">
        <v>237</v>
      </c>
      <c r="F31" s="258">
        <v>0.16</v>
      </c>
      <c r="G31" s="331">
        <f>+NPV(F31,F29:AJ29)+E29</f>
        <v>-2009297.0286438931</v>
      </c>
      <c r="H31" s="259" t="s">
        <v>392</v>
      </c>
      <c r="I31" s="14"/>
      <c r="J31" s="14"/>
      <c r="K31" s="14"/>
      <c r="L31" s="14"/>
      <c r="M31" s="14"/>
      <c r="N31" s="14"/>
      <c r="O31" s="14"/>
      <c r="P31" s="14"/>
      <c r="Q31" s="14"/>
      <c r="R31" s="14"/>
      <c r="S31" s="14"/>
      <c r="T31" s="14"/>
      <c r="U31" s="14"/>
      <c r="V31" s="14"/>
      <c r="W31" s="14"/>
      <c r="X31" s="14"/>
      <c r="Y31" s="14"/>
    </row>
    <row r="32" spans="1:44" ht="15.75" hidden="1" thickBot="1">
      <c r="A32" s="373"/>
      <c r="B32" s="373"/>
      <c r="C32" s="373"/>
      <c r="D32" s="373"/>
      <c r="E32" s="332" t="s">
        <v>238</v>
      </c>
      <c r="F32" s="230"/>
      <c r="G32" s="333">
        <f>+IRR(E29:AJ29)</f>
        <v>9.262117330452424E-2</v>
      </c>
      <c r="H32" s="334"/>
      <c r="I32" s="14"/>
      <c r="J32" s="14"/>
      <c r="K32" s="14"/>
      <c r="L32" s="14"/>
      <c r="M32" s="14"/>
      <c r="N32" s="14"/>
      <c r="O32" s="14"/>
      <c r="P32" s="14"/>
      <c r="Q32" s="14"/>
      <c r="R32" s="14"/>
      <c r="S32" s="14"/>
      <c r="T32" s="14"/>
      <c r="U32" s="14"/>
      <c r="V32" s="14"/>
      <c r="W32" s="14"/>
      <c r="X32" s="14"/>
      <c r="Y32" s="14"/>
    </row>
    <row r="33" spans="1:36" ht="15.75" hidden="1" thickBot="1">
      <c r="A33" s="373"/>
      <c r="B33" s="373"/>
      <c r="C33" s="373"/>
      <c r="D33" s="373"/>
      <c r="E33" s="674" t="s">
        <v>239</v>
      </c>
      <c r="F33" s="675"/>
      <c r="G33" s="672" t="str">
        <f>+COUNTIF(F36:Y37,1)&amp;" años y "&amp;ROUND(SUM(F37:Y37),0)&amp;" días"</f>
        <v>10 años y 32 días</v>
      </c>
      <c r="H33" s="673"/>
      <c r="I33" s="14"/>
      <c r="J33" s="14"/>
      <c r="K33" s="14"/>
      <c r="L33" s="14"/>
      <c r="M33" s="14"/>
      <c r="N33" s="14"/>
      <c r="O33" s="14"/>
      <c r="P33" s="14"/>
      <c r="Q33" s="14"/>
      <c r="R33" s="14"/>
      <c r="S33" s="14"/>
      <c r="T33" s="14"/>
      <c r="U33" s="14"/>
      <c r="V33" s="14"/>
      <c r="W33" s="14"/>
      <c r="X33" s="14"/>
      <c r="Y33" s="14"/>
    </row>
    <row r="34" spans="1:36" ht="15.75" hidden="1" thickBot="1">
      <c r="A34" s="373"/>
      <c r="B34" s="373"/>
      <c r="C34" s="373"/>
      <c r="D34" s="373"/>
      <c r="E34" s="233"/>
      <c r="F34" s="233"/>
      <c r="G34" s="217"/>
      <c r="H34" s="217"/>
    </row>
    <row r="35" spans="1:36" s="96" customFormat="1" ht="15.75" thickBot="1">
      <c r="A35" s="648" t="s">
        <v>467</v>
      </c>
      <c r="B35" s="649"/>
      <c r="C35" s="649"/>
      <c r="D35" s="649"/>
      <c r="E35" s="350">
        <f>E29</f>
        <v>-5192411.1998804212</v>
      </c>
      <c r="F35" s="351">
        <f>+F29+E29</f>
        <v>-4676751.2743476667</v>
      </c>
      <c r="G35" s="351">
        <f>G29+F35</f>
        <v>-4161292.7375948052</v>
      </c>
      <c r="H35" s="351">
        <f>H29+G35</f>
        <v>-3646035.6065701311</v>
      </c>
      <c r="I35" s="351">
        <f t="shared" ref="I35:V35" si="9">I29+H35</f>
        <v>-3130979.896265083</v>
      </c>
      <c r="J35" s="351">
        <f t="shared" si="9"/>
        <v>-2616125.6197540299</v>
      </c>
      <c r="K35" s="351">
        <f t="shared" si="9"/>
        <v>-2101472.7882332555</v>
      </c>
      <c r="L35" s="351">
        <f t="shared" si="9"/>
        <v>-1587021.411059171</v>
      </c>
      <c r="M35" s="351">
        <f t="shared" si="9"/>
        <v>-1072771.495785756</v>
      </c>
      <c r="N35" s="351">
        <f t="shared" si="9"/>
        <v>-558723.04820125434</v>
      </c>
      <c r="O35" s="351">
        <f>O29+N35</f>
        <v>-44876.072364134016</v>
      </c>
      <c r="P35" s="351">
        <f t="shared" si="9"/>
        <v>468769.4293616708</v>
      </c>
      <c r="Q35" s="351">
        <f t="shared" si="9"/>
        <v>982213.45627222431</v>
      </c>
      <c r="R35" s="351">
        <f t="shared" si="9"/>
        <v>1495456.0092897441</v>
      </c>
      <c r="S35" s="351">
        <f t="shared" si="9"/>
        <v>2008497.0909294316</v>
      </c>
      <c r="T35" s="351">
        <f t="shared" si="9"/>
        <v>2521336.7052669711</v>
      </c>
      <c r="U35" s="351">
        <f t="shared" si="9"/>
        <v>3033974.8579066736</v>
      </c>
      <c r="V35" s="351">
        <f t="shared" si="9"/>
        <v>3546411.5559502603</v>
      </c>
      <c r="W35" s="351">
        <f>W29+V35</f>
        <v>4058646.8079662705</v>
      </c>
      <c r="X35" s="351">
        <f>X29+W35</f>
        <v>4570680.6239600834</v>
      </c>
      <c r="Y35" s="351">
        <f>Y29+X35</f>
        <v>5082513.0153445341</v>
      </c>
      <c r="Z35" s="351">
        <f>Z29+Y35</f>
        <v>5594143.9949111259</v>
      </c>
      <c r="AA35" s="351">
        <f>AA29+Z35</f>
        <v>6105573.5768018132</v>
      </c>
      <c r="AB35" s="351">
        <f t="shared" ref="AB35:AJ35" si="10">AB29+AA35</f>
        <v>6616801.7764813472</v>
      </c>
      <c r="AC35" s="351">
        <f t="shared" si="10"/>
        <v>7127828.6107101804</v>
      </c>
      <c r="AD35" s="351">
        <f t="shared" si="10"/>
        <v>7638654.0975179095</v>
      </c>
      <c r="AE35" s="351">
        <f t="shared" si="10"/>
        <v>8149278.2561772512</v>
      </c>
      <c r="AF35" s="351">
        <f t="shared" si="10"/>
        <v>8659701.107178539</v>
      </c>
      <c r="AG35" s="351">
        <f t="shared" si="10"/>
        <v>9169922.6722047254</v>
      </c>
      <c r="AH35" s="351">
        <f t="shared" si="10"/>
        <v>9679942.9741068967</v>
      </c>
      <c r="AI35" s="351">
        <f t="shared" si="10"/>
        <v>10189762.036880262</v>
      </c>
      <c r="AJ35" s="352">
        <f t="shared" si="10"/>
        <v>10699379.885640634</v>
      </c>
    </row>
    <row r="36" spans="1:36" hidden="1">
      <c r="A36" s="234"/>
      <c r="B36" s="235"/>
      <c r="C36" s="234"/>
      <c r="D36" s="234"/>
      <c r="E36" s="238"/>
      <c r="F36" s="238">
        <f t="shared" ref="F36:AJ36" si="11">+IF(F35&lt;0,1,(-365*E35/F29))</f>
        <v>1</v>
      </c>
      <c r="G36" s="238">
        <f t="shared" si="11"/>
        <v>1</v>
      </c>
      <c r="H36" s="238">
        <f t="shared" si="11"/>
        <v>1</v>
      </c>
      <c r="I36" s="238">
        <f t="shared" si="11"/>
        <v>1</v>
      </c>
      <c r="J36" s="238">
        <f t="shared" si="11"/>
        <v>1</v>
      </c>
      <c r="K36" s="238">
        <f t="shared" si="11"/>
        <v>1</v>
      </c>
      <c r="L36" s="238">
        <f t="shared" si="11"/>
        <v>1</v>
      </c>
      <c r="M36" s="238">
        <f t="shared" si="11"/>
        <v>1</v>
      </c>
      <c r="N36" s="238">
        <f t="shared" si="11"/>
        <v>1</v>
      </c>
      <c r="O36" s="238">
        <f t="shared" si="11"/>
        <v>1</v>
      </c>
      <c r="P36" s="238">
        <f t="shared" si="11"/>
        <v>31.88924337480676</v>
      </c>
      <c r="Q36" s="238">
        <f t="shared" si="11"/>
        <v>-333.2414688832618</v>
      </c>
      <c r="R36" s="238">
        <f t="shared" si="11"/>
        <v>-698.51556429134223</v>
      </c>
      <c r="S36" s="238">
        <f t="shared" si="11"/>
        <v>-1063.9332071541689</v>
      </c>
      <c r="T36" s="238">
        <f t="shared" si="11"/>
        <v>-1429.4945587154498</v>
      </c>
      <c r="U36" s="238">
        <f t="shared" si="11"/>
        <v>-1795.1997772379036</v>
      </c>
      <c r="V36" s="238">
        <f t="shared" si="11"/>
        <v>-2161.0490180813376</v>
      </c>
      <c r="W36" s="238">
        <f t="shared" si="11"/>
        <v>-2527.042433778819</v>
      </c>
      <c r="X36" s="238">
        <f t="shared" si="11"/>
        <v>-2893.1801741109821</v>
      </c>
      <c r="Y36" s="238">
        <f t="shared" si="11"/>
        <v>-3259.4623861785412</v>
      </c>
      <c r="Z36" s="238">
        <f t="shared" si="11"/>
        <v>-3625.8892144729853</v>
      </c>
      <c r="AA36" s="238">
        <f t="shared" si="11"/>
        <v>-3992.4608009455897</v>
      </c>
      <c r="AB36" s="238">
        <f t="shared" si="11"/>
        <v>-4359.177285074712</v>
      </c>
      <c r="AC36" s="238">
        <f t="shared" si="11"/>
        <v>-4726.0388039314148</v>
      </c>
      <c r="AD36" s="238">
        <f t="shared" si="11"/>
        <v>-5093.0454922435401</v>
      </c>
      <c r="AE36" s="238">
        <f t="shared" si="11"/>
        <v>-5460.1974824581312</v>
      </c>
      <c r="AF36" s="238">
        <f t="shared" si="11"/>
        <v>-5827.4949048023636</v>
      </c>
      <c r="AG36" s="238">
        <f t="shared" si="11"/>
        <v>-6194.9378873429978</v>
      </c>
      <c r="AH36" s="238">
        <f t="shared" si="11"/>
        <v>-6562.5265560442804</v>
      </c>
      <c r="AI36" s="238">
        <f t="shared" si="11"/>
        <v>-6930.2610348245307</v>
      </c>
      <c r="AJ36" s="238">
        <f t="shared" si="11"/>
        <v>-7298.1414456112025</v>
      </c>
    </row>
    <row r="37" spans="1:36" ht="15.75" hidden="1" thickBot="1">
      <c r="A37" s="236"/>
      <c r="B37" s="237"/>
      <c r="C37" s="236"/>
      <c r="D37" s="236"/>
      <c r="E37" s="236"/>
      <c r="F37" s="236">
        <f>+IF(F36&gt;0,IF(F36&lt;&gt;1,F36,0),0)</f>
        <v>0</v>
      </c>
      <c r="G37" s="236">
        <f t="shared" ref="G37:AJ37" si="12">+IF(G36&gt;0,IF(G36&lt;&gt;1,G36,0),0)</f>
        <v>0</v>
      </c>
      <c r="H37" s="236">
        <f t="shared" si="12"/>
        <v>0</v>
      </c>
      <c r="I37" s="236">
        <f t="shared" si="12"/>
        <v>0</v>
      </c>
      <c r="J37" s="236">
        <f t="shared" si="12"/>
        <v>0</v>
      </c>
      <c r="K37" s="236">
        <f t="shared" si="12"/>
        <v>0</v>
      </c>
      <c r="L37" s="236">
        <f t="shared" si="12"/>
        <v>0</v>
      </c>
      <c r="M37" s="236">
        <f t="shared" si="12"/>
        <v>0</v>
      </c>
      <c r="N37" s="236">
        <f t="shared" si="12"/>
        <v>0</v>
      </c>
      <c r="O37" s="236">
        <f>+IF(O36&gt;0,IF(O36&lt;&gt;1,O36,0),0)</f>
        <v>0</v>
      </c>
      <c r="P37" s="236">
        <f>+IF(P36&gt;0,IF(P36&gt;1,P36,0),0)</f>
        <v>31.88924337480676</v>
      </c>
      <c r="Q37" s="236">
        <f t="shared" si="12"/>
        <v>0</v>
      </c>
      <c r="R37" s="236">
        <f t="shared" si="12"/>
        <v>0</v>
      </c>
      <c r="S37" s="236">
        <f t="shared" si="12"/>
        <v>0</v>
      </c>
      <c r="T37" s="236">
        <f t="shared" si="12"/>
        <v>0</v>
      </c>
      <c r="U37" s="236">
        <f t="shared" si="12"/>
        <v>0</v>
      </c>
      <c r="V37" s="236">
        <f t="shared" si="12"/>
        <v>0</v>
      </c>
      <c r="W37" s="236">
        <f t="shared" si="12"/>
        <v>0</v>
      </c>
      <c r="X37" s="236">
        <f t="shared" si="12"/>
        <v>0</v>
      </c>
      <c r="Y37" s="236">
        <f t="shared" si="12"/>
        <v>0</v>
      </c>
      <c r="Z37" s="236">
        <f t="shared" si="12"/>
        <v>0</v>
      </c>
      <c r="AA37" s="236">
        <f t="shared" si="12"/>
        <v>0</v>
      </c>
      <c r="AB37" s="236">
        <f t="shared" si="12"/>
        <v>0</v>
      </c>
      <c r="AC37" s="236">
        <f t="shared" si="12"/>
        <v>0</v>
      </c>
      <c r="AD37" s="236">
        <f t="shared" si="12"/>
        <v>0</v>
      </c>
      <c r="AE37" s="236">
        <f t="shared" si="12"/>
        <v>0</v>
      </c>
      <c r="AF37" s="236">
        <f t="shared" si="12"/>
        <v>0</v>
      </c>
      <c r="AG37" s="236">
        <f t="shared" si="12"/>
        <v>0</v>
      </c>
      <c r="AH37" s="236">
        <f t="shared" si="12"/>
        <v>0</v>
      </c>
      <c r="AI37" s="236">
        <f t="shared" si="12"/>
        <v>0</v>
      </c>
      <c r="AJ37" s="236">
        <f t="shared" si="12"/>
        <v>0</v>
      </c>
    </row>
    <row r="38" spans="1:36" hidden="1">
      <c r="A38" s="238"/>
      <c r="B38" s="239"/>
      <c r="C38" s="238"/>
      <c r="D38" s="238"/>
      <c r="E38" s="240"/>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row>
    <row r="39" spans="1:36" hidden="1">
      <c r="A39" s="238"/>
      <c r="B39" s="239"/>
      <c r="C39" s="238"/>
      <c r="D39" s="238"/>
      <c r="E39" s="241"/>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row>
    <row r="40" spans="1:36" hidden="1">
      <c r="A40" s="238"/>
      <c r="B40" s="239" t="s">
        <v>411</v>
      </c>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row>
    <row r="41" spans="1:36" ht="15.75" hidden="1" thickBot="1">
      <c r="A41" s="242"/>
      <c r="B41" s="243" t="s">
        <v>412</v>
      </c>
      <c r="C41" s="244"/>
      <c r="D41" s="244"/>
      <c r="E41" s="124">
        <f t="shared" ref="E41:AJ41" si="13">+E29/(1+$F$31)^E15</f>
        <v>-5192411.1998804212</v>
      </c>
      <c r="F41" s="124">
        <f>+F29/(1+$F$31)^F15</f>
        <v>444534.41856271971</v>
      </c>
      <c r="G41" s="124">
        <f t="shared" si="13"/>
        <v>383069.6616772156</v>
      </c>
      <c r="H41" s="124">
        <f t="shared" si="13"/>
        <v>330103.43483785872</v>
      </c>
      <c r="I41" s="124">
        <f t="shared" si="13"/>
        <v>284460.68371398275</v>
      </c>
      <c r="J41" s="124">
        <f t="shared" si="13"/>
        <v>245128.82208857508</v>
      </c>
      <c r="K41" s="124">
        <f t="shared" si="13"/>
        <v>211235.26854035628</v>
      </c>
      <c r="L41" s="124">
        <f t="shared" si="13"/>
        <v>182028.08893455897</v>
      </c>
      <c r="M41" s="124">
        <f t="shared" si="13"/>
        <v>156859.31531461651</v>
      </c>
      <c r="N41" s="124">
        <f t="shared" si="13"/>
        <v>135170.57115584117</v>
      </c>
      <c r="O41" s="124">
        <f t="shared" si="13"/>
        <v>116480.68410300152</v>
      </c>
      <c r="P41" s="124">
        <f t="shared" si="13"/>
        <v>100375.01140124767</v>
      </c>
      <c r="Q41" s="124">
        <f t="shared" si="13"/>
        <v>86496.241221999371</v>
      </c>
      <c r="R41" s="124">
        <f t="shared" si="13"/>
        <v>74536.465824916595</v>
      </c>
      <c r="S41" s="124">
        <f t="shared" si="13"/>
        <v>64230.350710110826</v>
      </c>
      <c r="T41" s="124">
        <f t="shared" si="13"/>
        <v>55349.248227139011</v>
      </c>
      <c r="U41" s="124">
        <f t="shared" si="13"/>
        <v>47696.125058327343</v>
      </c>
      <c r="V41" s="124">
        <f t="shared" si="13"/>
        <v>41101.191048341243</v>
      </c>
      <c r="W41" s="124">
        <f t="shared" si="13"/>
        <v>35418.132410111313</v>
      </c>
      <c r="X41" s="124">
        <f t="shared" si="13"/>
        <v>30520.865744368271</v>
      </c>
      <c r="Y41" s="124">
        <f t="shared" si="13"/>
        <v>26300.740863522064</v>
      </c>
      <c r="Z41" s="124">
        <f t="shared" si="13"/>
        <v>22664.130366726891</v>
      </c>
      <c r="AA41" s="124">
        <f t="shared" si="13"/>
        <v>19530.352492549824</v>
      </c>
      <c r="AB41" s="124">
        <f t="shared" si="13"/>
        <v>16829.881169027412</v>
      </c>
      <c r="AC41" s="124">
        <f t="shared" si="13"/>
        <v>14502.803552049645</v>
      </c>
      <c r="AD41" s="124">
        <f t="shared" si="13"/>
        <v>12497.490833286902</v>
      </c>
      <c r="AE41" s="124">
        <f t="shared" si="13"/>
        <v>10769.452830061278</v>
      </c>
      <c r="AF41" s="124">
        <f t="shared" si="13"/>
        <v>9280.35094660902</v>
      </c>
      <c r="AG41" s="124">
        <f t="shared" si="13"/>
        <v>7997.1476095286043</v>
      </c>
      <c r="AH41" s="124">
        <f t="shared" si="13"/>
        <v>6891.3733077948264</v>
      </c>
      <c r="AI41" s="124">
        <f t="shared" si="13"/>
        <v>5938.4949767042435</v>
      </c>
      <c r="AJ41" s="124">
        <f t="shared" si="13"/>
        <v>5117.3717133790515</v>
      </c>
    </row>
    <row r="42" spans="1:36" ht="15.75" hidden="1" thickBot="1">
      <c r="A42" s="236"/>
      <c r="B42" s="237"/>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row>
    <row r="43" spans="1:36" s="14" customFormat="1">
      <c r="A43" s="218"/>
      <c r="B43" s="218"/>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row>
    <row r="44" spans="1:36" s="14" customFormat="1">
      <c r="A44" s="218"/>
      <c r="B44" s="218"/>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row>
    <row r="45" spans="1:36" ht="18.75">
      <c r="A45" s="313" t="s">
        <v>218</v>
      </c>
      <c r="B45" s="314"/>
      <c r="C45" s="314"/>
      <c r="D45" s="314"/>
      <c r="E45" s="314"/>
      <c r="F45" s="314"/>
      <c r="G45" s="314"/>
      <c r="H45" s="641" t="s">
        <v>457</v>
      </c>
      <c r="I45" s="641"/>
      <c r="J45" s="641"/>
    </row>
    <row r="46" spans="1:36" ht="15.75">
      <c r="A46" s="245" t="s">
        <v>413</v>
      </c>
      <c r="B46" s="219"/>
      <c r="C46" s="219"/>
      <c r="D46" s="246"/>
      <c r="E46" s="246"/>
      <c r="F46" s="246"/>
      <c r="G46" s="246"/>
      <c r="H46" s="246"/>
      <c r="I46" s="246"/>
      <c r="J46" s="246"/>
      <c r="K46" s="246"/>
      <c r="L46" s="246"/>
      <c r="M46" s="246"/>
      <c r="N46" s="246"/>
      <c r="O46" s="246"/>
      <c r="P46" s="246"/>
      <c r="Q46" s="246"/>
      <c r="R46" s="246"/>
      <c r="S46" s="246"/>
      <c r="T46" s="14"/>
      <c r="U46" s="14"/>
      <c r="V46" s="14"/>
    </row>
    <row r="47" spans="1:36">
      <c r="A47" s="218"/>
      <c r="B47" s="218"/>
      <c r="C47" s="218"/>
      <c r="D47" s="221"/>
      <c r="E47" s="221"/>
      <c r="F47" s="221"/>
      <c r="G47" s="221"/>
      <c r="R47" s="221"/>
      <c r="S47" s="221"/>
      <c r="T47" s="14"/>
      <c r="U47" s="14"/>
      <c r="V47" s="14"/>
    </row>
    <row r="48" spans="1:36">
      <c r="A48" s="219" t="s">
        <v>394</v>
      </c>
      <c r="B48" s="218"/>
      <c r="C48" s="218"/>
      <c r="D48" s="220"/>
      <c r="E48" s="221"/>
      <c r="F48" s="220"/>
      <c r="G48" s="221"/>
      <c r="H48" s="221"/>
      <c r="I48" s="222"/>
      <c r="J48" s="223"/>
      <c r="K48" s="221"/>
      <c r="L48" s="221"/>
      <c r="M48" s="221"/>
      <c r="N48" s="221"/>
      <c r="O48" s="221"/>
      <c r="P48" s="221"/>
      <c r="Q48" s="221"/>
      <c r="R48" s="221"/>
      <c r="S48" s="221"/>
      <c r="T48" s="14"/>
      <c r="U48" s="14"/>
      <c r="V48" s="14"/>
    </row>
    <row r="49" spans="1:36">
      <c r="A49" s="218"/>
      <c r="B49" s="218" t="s">
        <v>240</v>
      </c>
      <c r="C49" s="224" t="s">
        <v>392</v>
      </c>
      <c r="D49" s="225">
        <f>'PRESTAMO BANCARIO'!F21</f>
        <v>4153928.9599043373</v>
      </c>
      <c r="E49" s="218"/>
      <c r="F49" s="224" t="s">
        <v>395</v>
      </c>
      <c r="G49" s="224" t="s">
        <v>392</v>
      </c>
      <c r="H49" s="226">
        <f>'PRESTAMO BANCARIO'!E18*(20%)</f>
        <v>1038482.2399760843</v>
      </c>
      <c r="I49" s="222"/>
      <c r="J49" s="227"/>
      <c r="K49" s="221"/>
      <c r="L49" s="221"/>
      <c r="M49" s="221"/>
      <c r="N49" s="221"/>
      <c r="O49" s="221"/>
      <c r="P49" s="221"/>
      <c r="Q49" s="221"/>
      <c r="R49" s="221"/>
      <c r="S49" s="221"/>
      <c r="T49" s="14"/>
      <c r="U49" s="14"/>
      <c r="V49" s="14"/>
    </row>
    <row r="50" spans="1:36">
      <c r="A50" s="218"/>
      <c r="B50" s="218" t="s">
        <v>396</v>
      </c>
      <c r="C50" s="218"/>
      <c r="D50" s="225" t="s">
        <v>397</v>
      </c>
      <c r="E50" s="218"/>
      <c r="F50" s="228"/>
      <c r="G50" s="221"/>
      <c r="H50" s="221"/>
      <c r="I50" s="222"/>
      <c r="J50" s="227"/>
      <c r="K50" s="221"/>
      <c r="L50" s="221"/>
      <c r="M50" s="221"/>
    </row>
    <row r="51" spans="1:36" ht="18.75" customHeight="1">
      <c r="A51" s="218"/>
      <c r="B51" s="218" t="s">
        <v>398</v>
      </c>
      <c r="C51" s="218"/>
      <c r="D51" s="229">
        <v>0.16</v>
      </c>
      <c r="E51" s="218"/>
      <c r="F51" s="228"/>
      <c r="G51" s="221"/>
      <c r="H51" s="221"/>
      <c r="I51" s="222"/>
      <c r="J51" s="227"/>
      <c r="K51" s="221"/>
      <c r="L51" s="221"/>
      <c r="M51" s="221"/>
      <c r="N51" s="313"/>
      <c r="O51" s="314"/>
      <c r="P51" s="314"/>
      <c r="Q51" s="314"/>
      <c r="R51" s="314"/>
      <c r="S51" s="314"/>
      <c r="T51" s="641"/>
      <c r="U51" s="641"/>
      <c r="V51" s="641"/>
      <c r="W51" s="641"/>
      <c r="Y51" s="313"/>
      <c r="Z51" s="314"/>
      <c r="AA51" s="314"/>
      <c r="AB51" s="314"/>
      <c r="AC51" s="314"/>
      <c r="AD51" s="314"/>
      <c r="AE51" s="641"/>
      <c r="AF51" s="641"/>
      <c r="AG51" s="641"/>
      <c r="AH51" s="641"/>
    </row>
    <row r="52" spans="1:36" ht="15.75">
      <c r="A52" s="218"/>
      <c r="B52" s="218" t="s">
        <v>399</v>
      </c>
      <c r="C52" s="218"/>
      <c r="D52" s="230">
        <v>2</v>
      </c>
      <c r="E52" s="218"/>
      <c r="F52" s="221"/>
      <c r="G52" s="221"/>
      <c r="H52" s="221"/>
      <c r="I52" s="218"/>
      <c r="J52" s="218"/>
      <c r="K52" s="221"/>
      <c r="L52" s="221"/>
      <c r="M52" s="221"/>
      <c r="N52" s="245"/>
      <c r="O52" s="219"/>
      <c r="P52" s="219"/>
      <c r="Q52" s="246"/>
      <c r="R52" s="246"/>
      <c r="S52" s="246"/>
      <c r="T52" s="246"/>
      <c r="U52" s="246"/>
      <c r="V52" s="246"/>
      <c r="W52" s="246"/>
      <c r="Y52" s="245"/>
      <c r="Z52" s="219"/>
      <c r="AA52" s="219"/>
      <c r="AB52" s="246"/>
      <c r="AC52" s="246"/>
      <c r="AD52" s="246"/>
      <c r="AE52" s="246"/>
      <c r="AF52" s="246"/>
      <c r="AG52" s="246"/>
      <c r="AH52" s="246"/>
    </row>
    <row r="53" spans="1:36" ht="15.75" thickBot="1">
      <c r="A53" s="218"/>
      <c r="B53" s="218"/>
      <c r="C53" s="218"/>
      <c r="D53" s="230"/>
      <c r="E53" s="218"/>
      <c r="F53" s="221"/>
      <c r="G53" s="221"/>
      <c r="H53" s="221"/>
      <c r="I53" s="218"/>
      <c r="J53" s="218"/>
      <c r="K53" s="221"/>
      <c r="L53" s="221"/>
      <c r="M53" s="221"/>
      <c r="N53" s="221"/>
      <c r="O53" s="221"/>
      <c r="P53" s="221"/>
      <c r="Q53" s="221"/>
      <c r="R53" s="221"/>
      <c r="S53" s="221"/>
      <c r="T53" s="14"/>
      <c r="U53" s="14"/>
      <c r="V53" s="14"/>
    </row>
    <row r="54" spans="1:36" ht="15.75" thickBot="1">
      <c r="A54" s="646" t="s">
        <v>79</v>
      </c>
      <c r="B54" s="647"/>
      <c r="C54" s="647"/>
      <c r="D54" s="647"/>
      <c r="E54" s="440">
        <v>0</v>
      </c>
      <c r="F54" s="440">
        <v>1</v>
      </c>
      <c r="G54" s="440">
        <v>2</v>
      </c>
      <c r="H54" s="440">
        <v>3</v>
      </c>
      <c r="I54" s="440">
        <v>4</v>
      </c>
      <c r="J54" s="440">
        <v>5</v>
      </c>
      <c r="K54" s="440">
        <v>6</v>
      </c>
      <c r="L54" s="440">
        <v>7</v>
      </c>
      <c r="M54" s="440">
        <v>8</v>
      </c>
      <c r="N54" s="440">
        <v>9</v>
      </c>
      <c r="O54" s="440">
        <v>10</v>
      </c>
      <c r="P54" s="440">
        <v>11</v>
      </c>
      <c r="Q54" s="440">
        <v>12</v>
      </c>
      <c r="R54" s="440">
        <v>13</v>
      </c>
      <c r="S54" s="440">
        <v>14</v>
      </c>
      <c r="T54" s="440">
        <v>15</v>
      </c>
      <c r="U54" s="440">
        <v>16</v>
      </c>
      <c r="V54" s="440">
        <v>17</v>
      </c>
      <c r="W54" s="440">
        <v>18</v>
      </c>
      <c r="X54" s="440">
        <v>19</v>
      </c>
      <c r="Y54" s="440">
        <v>20</v>
      </c>
      <c r="Z54" s="440">
        <v>21</v>
      </c>
      <c r="AA54" s="440">
        <v>22</v>
      </c>
      <c r="AB54" s="440">
        <v>23</v>
      </c>
      <c r="AC54" s="440">
        <v>24</v>
      </c>
      <c r="AD54" s="440">
        <v>25</v>
      </c>
      <c r="AE54" s="440">
        <v>26</v>
      </c>
      <c r="AF54" s="440">
        <v>27</v>
      </c>
      <c r="AG54" s="440">
        <v>28</v>
      </c>
      <c r="AH54" s="440">
        <v>29</v>
      </c>
      <c r="AI54" s="440">
        <v>30</v>
      </c>
      <c r="AJ54" s="441">
        <v>31</v>
      </c>
    </row>
    <row r="55" spans="1:36">
      <c r="A55" s="383"/>
      <c r="B55" s="384" t="s">
        <v>400</v>
      </c>
      <c r="C55" s="384"/>
      <c r="D55" s="385"/>
      <c r="E55" s="248">
        <f>D49</f>
        <v>4153928.9599043373</v>
      </c>
      <c r="F55" s="248"/>
      <c r="G55" s="248"/>
      <c r="H55" s="248"/>
      <c r="I55" s="248"/>
      <c r="J55" s="248"/>
      <c r="K55" s="248"/>
      <c r="L55" s="248"/>
      <c r="M55" s="248"/>
      <c r="N55" s="248"/>
      <c r="O55" s="248"/>
      <c r="P55" s="248"/>
      <c r="Q55" s="248"/>
      <c r="R55" s="248"/>
      <c r="S55" s="248"/>
      <c r="T55" s="268"/>
      <c r="U55" s="268"/>
      <c r="V55" s="268"/>
      <c r="W55" s="264"/>
      <c r="X55" s="264"/>
      <c r="Y55" s="264"/>
      <c r="Z55" s="264"/>
      <c r="AA55" s="264"/>
      <c r="AB55" s="264"/>
      <c r="AC55" s="264"/>
      <c r="AD55" s="264"/>
      <c r="AE55" s="264"/>
      <c r="AF55" s="264"/>
      <c r="AG55" s="264"/>
      <c r="AH55" s="264"/>
      <c r="AI55" s="264"/>
      <c r="AJ55" s="269"/>
    </row>
    <row r="56" spans="1:36">
      <c r="A56" s="374"/>
      <c r="B56" s="375" t="s">
        <v>401</v>
      </c>
      <c r="C56" s="375"/>
      <c r="D56" s="376"/>
      <c r="E56" s="226">
        <v>0</v>
      </c>
      <c r="F56" s="226">
        <f>'PRESTAMO BANCARIO'!E28</f>
        <v>0</v>
      </c>
      <c r="G56" s="226">
        <f>'PRESTAMO BANCARIO'!F28</f>
        <v>0</v>
      </c>
      <c r="H56" s="226">
        <f>'PRESTAMO BANCARIO'!G28</f>
        <v>415392.89599043375</v>
      </c>
      <c r="I56" s="226">
        <f>'PRESTAMO BANCARIO'!H28</f>
        <v>415392.89599043375</v>
      </c>
      <c r="J56" s="226">
        <f>'PRESTAMO BANCARIO'!I28</f>
        <v>415392.89599043375</v>
      </c>
      <c r="K56" s="226">
        <f>'PRESTAMO BANCARIO'!J28</f>
        <v>415392.89599043375</v>
      </c>
      <c r="L56" s="226">
        <f>'PRESTAMO BANCARIO'!K28</f>
        <v>415392.89599043375</v>
      </c>
      <c r="M56" s="226">
        <f>'PRESTAMO BANCARIO'!L28</f>
        <v>415392.89599043375</v>
      </c>
      <c r="N56" s="226">
        <f>'PRESTAMO BANCARIO'!M28</f>
        <v>415392.89599043375</v>
      </c>
      <c r="O56" s="226">
        <f>'PRESTAMO BANCARIO'!N28</f>
        <v>415392.89599043375</v>
      </c>
      <c r="P56" s="226">
        <f>'PRESTAMO BANCARIO'!O28</f>
        <v>415392.89599043375</v>
      </c>
      <c r="Q56" s="226">
        <f>'PRESTAMO BANCARIO'!P28</f>
        <v>415392.89599043375</v>
      </c>
      <c r="R56" s="226">
        <f>'PRESTAMO BANCARIO'!Q28</f>
        <v>0</v>
      </c>
      <c r="S56" s="226">
        <f>'PRESTAMO BANCARIO'!R28</f>
        <v>0</v>
      </c>
      <c r="T56" s="226">
        <f>'PRESTAMO BANCARIO'!S28</f>
        <v>0</v>
      </c>
      <c r="U56" s="226">
        <f>'PRESTAMO BANCARIO'!T28</f>
        <v>0</v>
      </c>
      <c r="V56" s="226">
        <f>'PRESTAMO BANCARIO'!U28</f>
        <v>0</v>
      </c>
      <c r="W56" s="226">
        <f>'PRESTAMO BANCARIO'!V28</f>
        <v>0</v>
      </c>
      <c r="X56" s="226">
        <f>'PRESTAMO BANCARIO'!W28</f>
        <v>0</v>
      </c>
      <c r="Y56" s="226">
        <f>'PRESTAMO BANCARIO'!X28</f>
        <v>0</v>
      </c>
      <c r="Z56" s="226">
        <f>'PRESTAMO BANCARIO'!Y28</f>
        <v>0</v>
      </c>
      <c r="AA56" s="226">
        <f>'PRESTAMO BANCARIO'!Z28</f>
        <v>0</v>
      </c>
      <c r="AB56" s="226">
        <f>'PRESTAMO BANCARIO'!AA28</f>
        <v>0</v>
      </c>
      <c r="AC56" s="226">
        <f>'PRESTAMO BANCARIO'!AB28</f>
        <v>0</v>
      </c>
      <c r="AD56" s="226">
        <f>'PRESTAMO BANCARIO'!AC28</f>
        <v>0</v>
      </c>
      <c r="AE56" s="226">
        <f>'PRESTAMO BANCARIO'!AD28</f>
        <v>0</v>
      </c>
      <c r="AF56" s="226">
        <f>'PRESTAMO BANCARIO'!AE28</f>
        <v>0</v>
      </c>
      <c r="AG56" s="226">
        <f>'PRESTAMO BANCARIO'!AF28</f>
        <v>0</v>
      </c>
      <c r="AH56" s="226">
        <f>'PRESTAMO BANCARIO'!AG28</f>
        <v>0</v>
      </c>
      <c r="AI56" s="226">
        <f>'PRESTAMO BANCARIO'!AH28</f>
        <v>0</v>
      </c>
      <c r="AJ56" s="250">
        <f>'PRESTAMO BANCARIO'!AI28</f>
        <v>0</v>
      </c>
    </row>
    <row r="57" spans="1:36">
      <c r="A57" s="374"/>
      <c r="B57" s="375" t="s">
        <v>414</v>
      </c>
      <c r="C57" s="375"/>
      <c r="D57" s="376"/>
      <c r="E57" s="226">
        <v>0</v>
      </c>
      <c r="F57" s="226">
        <f>'PRESTAMO BANCARIO'!E29</f>
        <v>602262.79604969174</v>
      </c>
      <c r="G57" s="226">
        <f>'PRESTAMO BANCARIO'!F29</f>
        <v>602262.79604969174</v>
      </c>
      <c r="H57" s="226">
        <f>'PRESTAMO BANCARIO'!G29</f>
        <v>587206.22614844947</v>
      </c>
      <c r="I57" s="226">
        <f>'PRESTAMO BANCARIO'!H29</f>
        <v>526979.94654348027</v>
      </c>
      <c r="J57" s="226">
        <f>'PRESTAMO BANCARIO'!I29</f>
        <v>466753.66693851096</v>
      </c>
      <c r="K57" s="226">
        <f>'PRESTAMO BANCARIO'!J29</f>
        <v>406527.38733354176</v>
      </c>
      <c r="L57" s="226">
        <f>'PRESTAMO BANCARIO'!K29</f>
        <v>346301.10772857256</v>
      </c>
      <c r="M57" s="226">
        <f>'PRESTAMO BANCARIO'!L29</f>
        <v>286074.82812360337</v>
      </c>
      <c r="N57" s="226">
        <f>'PRESTAMO BANCARIO'!M29</f>
        <v>225848.5485186342</v>
      </c>
      <c r="O57" s="226">
        <f>'PRESTAMO BANCARIO'!N29</f>
        <v>165622.26891366503</v>
      </c>
      <c r="P57" s="226">
        <f>'PRESTAMO BANCARIO'!O29</f>
        <v>105395.98930869586</v>
      </c>
      <c r="Q57" s="226">
        <f>'PRESTAMO BANCARIO'!P29</f>
        <v>45169.709703726694</v>
      </c>
      <c r="R57" s="226">
        <f>'PRESTAMO BANCARIO'!Q29</f>
        <v>-1.9410420974639994E-10</v>
      </c>
      <c r="S57" s="226">
        <f>'PRESTAMO BANCARIO'!R29</f>
        <v>-1.9410420974639994E-10</v>
      </c>
      <c r="T57" s="226">
        <f>'PRESTAMO BANCARIO'!S29</f>
        <v>-1.9410420974639994E-10</v>
      </c>
      <c r="U57" s="226">
        <f>'PRESTAMO BANCARIO'!T29</f>
        <v>-1.9410420974639994E-10</v>
      </c>
      <c r="V57" s="226">
        <f>'PRESTAMO BANCARIO'!U29</f>
        <v>-1.9410420974639994E-10</v>
      </c>
      <c r="W57" s="226">
        <f>'PRESTAMO BANCARIO'!V29</f>
        <v>-1.9410420974639994E-10</v>
      </c>
      <c r="X57" s="226">
        <f>'PRESTAMO BANCARIO'!W29</f>
        <v>-1.9410420974639994E-10</v>
      </c>
      <c r="Y57" s="226">
        <f>'PRESTAMO BANCARIO'!X29</f>
        <v>-1.9410420974639994E-10</v>
      </c>
      <c r="Z57" s="226">
        <f>'PRESTAMO BANCARIO'!Y29</f>
        <v>-1.9410420974639994E-10</v>
      </c>
      <c r="AA57" s="226">
        <f>'PRESTAMO BANCARIO'!Z29</f>
        <v>0</v>
      </c>
      <c r="AB57" s="226">
        <f>'PRESTAMO BANCARIO'!AA29</f>
        <v>0</v>
      </c>
      <c r="AC57" s="226">
        <f>'PRESTAMO BANCARIO'!AB29</f>
        <v>0</v>
      </c>
      <c r="AD57" s="226">
        <f>'PRESTAMO BANCARIO'!AC29</f>
        <v>0</v>
      </c>
      <c r="AE57" s="226">
        <f>'PRESTAMO BANCARIO'!AD29</f>
        <v>0</v>
      </c>
      <c r="AF57" s="226">
        <f>'PRESTAMO BANCARIO'!AE29</f>
        <v>0</v>
      </c>
      <c r="AG57" s="226">
        <f>'PRESTAMO BANCARIO'!AF29</f>
        <v>0</v>
      </c>
      <c r="AH57" s="226">
        <f>'PRESTAMO BANCARIO'!AG29</f>
        <v>0</v>
      </c>
      <c r="AI57" s="226">
        <f>'PRESTAMO BANCARIO'!AH29</f>
        <v>0</v>
      </c>
      <c r="AJ57" s="250">
        <f>'PRESTAMO BANCARIO'!AI29</f>
        <v>0</v>
      </c>
    </row>
    <row r="58" spans="1:36" ht="15.75" thickBot="1">
      <c r="A58" s="377" t="s">
        <v>402</v>
      </c>
      <c r="B58" s="394"/>
      <c r="C58" s="394"/>
      <c r="D58" s="376"/>
      <c r="E58" s="390">
        <f>+E55-E56-E57</f>
        <v>4153928.9599043373</v>
      </c>
      <c r="F58" s="390">
        <f>+F55-F56-F57</f>
        <v>-602262.79604969174</v>
      </c>
      <c r="G58" s="390">
        <f t="shared" ref="G58:AJ58" si="14">+G55-G56-G57</f>
        <v>-602262.79604969174</v>
      </c>
      <c r="H58" s="390">
        <f t="shared" si="14"/>
        <v>-1002599.1221388832</v>
      </c>
      <c r="I58" s="390">
        <f>+I55-I56-I57</f>
        <v>-942372.84253391402</v>
      </c>
      <c r="J58" s="390">
        <f t="shared" si="14"/>
        <v>-882146.56292894471</v>
      </c>
      <c r="K58" s="390">
        <f t="shared" si="14"/>
        <v>-821920.28332397551</v>
      </c>
      <c r="L58" s="390">
        <f t="shared" si="14"/>
        <v>-761694.00371900632</v>
      </c>
      <c r="M58" s="390">
        <f t="shared" si="14"/>
        <v>-701467.72411403712</v>
      </c>
      <c r="N58" s="390">
        <f t="shared" si="14"/>
        <v>-641241.44450906792</v>
      </c>
      <c r="O58" s="390">
        <f t="shared" si="14"/>
        <v>-581015.16490409872</v>
      </c>
      <c r="P58" s="390">
        <f t="shared" si="14"/>
        <v>-520788.88529912964</v>
      </c>
      <c r="Q58" s="390">
        <f t="shared" si="14"/>
        <v>-460562.60569416045</v>
      </c>
      <c r="R58" s="390">
        <f t="shared" si="14"/>
        <v>1.9410420974639994E-10</v>
      </c>
      <c r="S58" s="390">
        <f t="shared" si="14"/>
        <v>1.9410420974639994E-10</v>
      </c>
      <c r="T58" s="390">
        <f t="shared" si="14"/>
        <v>1.9410420974639994E-10</v>
      </c>
      <c r="U58" s="390">
        <f t="shared" si="14"/>
        <v>1.9410420974639994E-10</v>
      </c>
      <c r="V58" s="390">
        <f t="shared" si="14"/>
        <v>1.9410420974639994E-10</v>
      </c>
      <c r="W58" s="390">
        <f t="shared" si="14"/>
        <v>1.9410420974639994E-10</v>
      </c>
      <c r="X58" s="390">
        <f t="shared" si="14"/>
        <v>1.9410420974639994E-10</v>
      </c>
      <c r="Y58" s="390">
        <f t="shared" si="14"/>
        <v>1.9410420974639994E-10</v>
      </c>
      <c r="Z58" s="390">
        <f t="shared" si="14"/>
        <v>1.9410420974639994E-10</v>
      </c>
      <c r="AA58" s="390">
        <f t="shared" si="14"/>
        <v>0</v>
      </c>
      <c r="AB58" s="390">
        <f t="shared" si="14"/>
        <v>0</v>
      </c>
      <c r="AC58" s="390">
        <f t="shared" si="14"/>
        <v>0</v>
      </c>
      <c r="AD58" s="390">
        <f t="shared" si="14"/>
        <v>0</v>
      </c>
      <c r="AE58" s="390">
        <f t="shared" si="14"/>
        <v>0</v>
      </c>
      <c r="AF58" s="390">
        <f t="shared" si="14"/>
        <v>0</v>
      </c>
      <c r="AG58" s="390">
        <f t="shared" si="14"/>
        <v>0</v>
      </c>
      <c r="AH58" s="390">
        <f t="shared" si="14"/>
        <v>0</v>
      </c>
      <c r="AI58" s="390">
        <f t="shared" si="14"/>
        <v>0</v>
      </c>
      <c r="AJ58" s="395">
        <f t="shared" si="14"/>
        <v>0</v>
      </c>
    </row>
    <row r="59" spans="1:36" ht="15.75" thickBot="1">
      <c r="A59" s="397" t="s">
        <v>403</v>
      </c>
      <c r="B59" s="397"/>
      <c r="C59" s="398"/>
      <c r="D59" s="385"/>
      <c r="E59" s="399">
        <f>E25+E58</f>
        <v>-1038482.2399760839</v>
      </c>
      <c r="F59" s="399">
        <f>F25+F58</f>
        <v>191060.16630839254</v>
      </c>
      <c r="G59" s="399">
        <f>G25+G58</f>
        <v>190750.33741624863</v>
      </c>
      <c r="H59" s="399">
        <f>H25+H58</f>
        <v>-209895.84363938449</v>
      </c>
      <c r="I59" s="399">
        <f t="shared" ref="I59:J59" si="15">I25+I58</f>
        <v>-149979.44206460926</v>
      </c>
      <c r="J59" s="399">
        <f t="shared" si="15"/>
        <v>-90063.060604247614</v>
      </c>
      <c r="K59" s="399">
        <f>K25+K58</f>
        <v>-30146.696368938312</v>
      </c>
      <c r="L59" s="399">
        <f t="shared" ref="L59:M59" si="16">L25+L58</f>
        <v>29769.653471892816</v>
      </c>
      <c r="M59" s="399">
        <f t="shared" si="16"/>
        <v>89685.991691216361</v>
      </c>
      <c r="N59" s="399">
        <f>N25+N58</f>
        <v>149602.3210055501</v>
      </c>
      <c r="O59" s="399">
        <f t="shared" ref="O59:P59" si="17">O25+O58</f>
        <v>209518.64407608635</v>
      </c>
      <c r="P59" s="399">
        <f t="shared" si="17"/>
        <v>269434.96350980084</v>
      </c>
      <c r="Q59" s="399">
        <f>Q25+Q58</f>
        <v>329351.28186053724</v>
      </c>
      <c r="R59" s="399">
        <f t="shared" ref="R59" si="18">R25+R58</f>
        <v>789603.92771926126</v>
      </c>
      <c r="S59" s="399">
        <f>S25+S58</f>
        <v>789293.97175336559</v>
      </c>
      <c r="T59" s="399">
        <f t="shared" ref="T59:AJ59" si="19">T25+T58</f>
        <v>788984.02205775329</v>
      </c>
      <c r="U59" s="399">
        <f t="shared" si="19"/>
        <v>788674.08098415798</v>
      </c>
      <c r="V59" s="399">
        <f t="shared" si="19"/>
        <v>788364.1508362873</v>
      </c>
      <c r="W59" s="399">
        <f t="shared" si="19"/>
        <v>788054.23387078498</v>
      </c>
      <c r="X59" s="399">
        <f t="shared" si="19"/>
        <v>787744.3322981731</v>
      </c>
      <c r="Y59" s="399">
        <f t="shared" si="19"/>
        <v>787434.44828377035</v>
      </c>
      <c r="Z59" s="399">
        <f t="shared" si="19"/>
        <v>787124.5839486036</v>
      </c>
      <c r="AA59" s="399">
        <f t="shared" si="19"/>
        <v>786814.74137028796</v>
      </c>
      <c r="AB59" s="399">
        <f>AB25+AB58</f>
        <v>786504.92258389783</v>
      </c>
      <c r="AC59" s="399">
        <f t="shared" si="19"/>
        <v>786195.12958282023</v>
      </c>
      <c r="AD59" s="399">
        <f t="shared" si="19"/>
        <v>785885.36431958294</v>
      </c>
      <c r="AE59" s="399">
        <f t="shared" si="19"/>
        <v>785575.62870667898</v>
      </c>
      <c r="AF59" s="399">
        <f t="shared" si="19"/>
        <v>785265.92461736477</v>
      </c>
      <c r="AG59" s="399">
        <f t="shared" si="19"/>
        <v>784956.25388644193</v>
      </c>
      <c r="AH59" s="399">
        <f t="shared" si="19"/>
        <v>784646.61831103382</v>
      </c>
      <c r="AI59" s="399">
        <f t="shared" si="19"/>
        <v>784337.01965133171</v>
      </c>
      <c r="AJ59" s="400">
        <f t="shared" si="19"/>
        <v>784027.45963134221</v>
      </c>
    </row>
    <row r="60" spans="1:36">
      <c r="A60" s="383" t="s">
        <v>404</v>
      </c>
      <c r="B60" s="384"/>
      <c r="C60" s="384"/>
      <c r="D60" s="385"/>
      <c r="E60" s="248">
        <f>E26-E57</f>
        <v>-5192411.1998804212</v>
      </c>
      <c r="F60" s="248">
        <f>F26-F57</f>
        <v>191060.16630839254</v>
      </c>
      <c r="G60" s="248">
        <f>G26-G57</f>
        <v>190750.33741624863</v>
      </c>
      <c r="H60" s="248">
        <f>H26-H57</f>
        <v>205497.05235104926</v>
      </c>
      <c r="I60" s="248">
        <f>I26-I57</f>
        <v>265413.45392582449</v>
      </c>
      <c r="J60" s="248">
        <f t="shared" ref="J60:AJ60" si="20">J26-J57</f>
        <v>325329.83538618614</v>
      </c>
      <c r="K60" s="248">
        <f t="shared" si="20"/>
        <v>385246.19962149544</v>
      </c>
      <c r="L60" s="248">
        <f t="shared" si="20"/>
        <v>445162.54946232657</v>
      </c>
      <c r="M60" s="248">
        <f t="shared" si="20"/>
        <v>505078.88768165011</v>
      </c>
      <c r="N60" s="248">
        <f t="shared" si="20"/>
        <v>564995.21699598385</v>
      </c>
      <c r="O60" s="248">
        <f t="shared" si="20"/>
        <v>624911.54006651998</v>
      </c>
      <c r="P60" s="248">
        <f t="shared" si="20"/>
        <v>684827.8595002346</v>
      </c>
      <c r="Q60" s="248">
        <f t="shared" si="20"/>
        <v>744744.177850971</v>
      </c>
      <c r="R60" s="248">
        <f t="shared" si="20"/>
        <v>789603.92771926126</v>
      </c>
      <c r="S60" s="248">
        <f t="shared" si="20"/>
        <v>789293.97175336559</v>
      </c>
      <c r="T60" s="248">
        <f t="shared" si="20"/>
        <v>788984.02205775329</v>
      </c>
      <c r="U60" s="248">
        <f t="shared" si="20"/>
        <v>788674.08098415798</v>
      </c>
      <c r="V60" s="248">
        <f t="shared" si="20"/>
        <v>788364.1508362873</v>
      </c>
      <c r="W60" s="248">
        <f t="shared" si="20"/>
        <v>788054.23387078498</v>
      </c>
      <c r="X60" s="248">
        <f t="shared" si="20"/>
        <v>787744.3322981731</v>
      </c>
      <c r="Y60" s="248">
        <f t="shared" si="20"/>
        <v>787434.44828377035</v>
      </c>
      <c r="Z60" s="248">
        <f t="shared" si="20"/>
        <v>787124.5839486036</v>
      </c>
      <c r="AA60" s="248">
        <f t="shared" si="20"/>
        <v>786814.74137028796</v>
      </c>
      <c r="AB60" s="248">
        <f t="shared" si="20"/>
        <v>786504.92258389783</v>
      </c>
      <c r="AC60" s="248">
        <f t="shared" si="20"/>
        <v>786195.12958282023</v>
      </c>
      <c r="AD60" s="248">
        <f t="shared" si="20"/>
        <v>785885.36431958294</v>
      </c>
      <c r="AE60" s="248">
        <f t="shared" si="20"/>
        <v>785575.62870667898</v>
      </c>
      <c r="AF60" s="248">
        <f t="shared" si="20"/>
        <v>785265.92461736477</v>
      </c>
      <c r="AG60" s="248">
        <f t="shared" si="20"/>
        <v>784956.25388644193</v>
      </c>
      <c r="AH60" s="248">
        <f t="shared" si="20"/>
        <v>784646.61831103382</v>
      </c>
      <c r="AI60" s="248">
        <f t="shared" si="20"/>
        <v>784337.01965133171</v>
      </c>
      <c r="AJ60" s="249">
        <f t="shared" si="20"/>
        <v>784027.45963134221</v>
      </c>
    </row>
    <row r="61" spans="1:36">
      <c r="A61" s="374" t="s">
        <v>405</v>
      </c>
      <c r="B61" s="375"/>
      <c r="C61" s="386">
        <v>0.35</v>
      </c>
      <c r="D61" s="376"/>
      <c r="E61" s="226">
        <f>IF(E60&lt;0,0,E60*$C61)</f>
        <v>0</v>
      </c>
      <c r="F61" s="226">
        <f t="shared" ref="F61:AJ61" si="21">IF(F60&lt;0,0,F60*$C61)</f>
        <v>66871.058207937385</v>
      </c>
      <c r="G61" s="226">
        <f t="shared" si="21"/>
        <v>66762.618095687023</v>
      </c>
      <c r="H61" s="226">
        <f t="shared" si="21"/>
        <v>71923.968322867237</v>
      </c>
      <c r="I61" s="226">
        <f t="shared" si="21"/>
        <v>92894.708874038566</v>
      </c>
      <c r="J61" s="226">
        <f t="shared" si="21"/>
        <v>113865.44238516514</v>
      </c>
      <c r="K61" s="226">
        <f t="shared" si="21"/>
        <v>134836.16986752339</v>
      </c>
      <c r="L61" s="226">
        <f t="shared" si="21"/>
        <v>155806.8923118143</v>
      </c>
      <c r="M61" s="226">
        <f t="shared" si="21"/>
        <v>176777.61068857752</v>
      </c>
      <c r="N61" s="226">
        <f t="shared" si="21"/>
        <v>197748.32594859434</v>
      </c>
      <c r="O61" s="226">
        <f t="shared" si="21"/>
        <v>218719.03902328198</v>
      </c>
      <c r="P61" s="226">
        <f t="shared" si="21"/>
        <v>239689.7508250821</v>
      </c>
      <c r="Q61" s="226">
        <f t="shared" si="21"/>
        <v>260660.46224783984</v>
      </c>
      <c r="R61" s="226">
        <f t="shared" si="21"/>
        <v>276361.37470174144</v>
      </c>
      <c r="S61" s="226">
        <f t="shared" si="21"/>
        <v>276252.89011367795</v>
      </c>
      <c r="T61" s="226">
        <f t="shared" si="21"/>
        <v>276144.40772021364</v>
      </c>
      <c r="U61" s="226">
        <f t="shared" si="21"/>
        <v>276035.92834445526</v>
      </c>
      <c r="V61" s="226">
        <f t="shared" si="21"/>
        <v>275927.45279270055</v>
      </c>
      <c r="W61" s="226">
        <f t="shared" si="21"/>
        <v>275818.9818547747</v>
      </c>
      <c r="X61" s="226">
        <f t="shared" si="21"/>
        <v>275710.51630436059</v>
      </c>
      <c r="Y61" s="226">
        <f t="shared" si="21"/>
        <v>275602.05689931958</v>
      </c>
      <c r="Z61" s="226">
        <f t="shared" si="21"/>
        <v>275493.60438201122</v>
      </c>
      <c r="AA61" s="226">
        <f t="shared" si="21"/>
        <v>275385.15947960078</v>
      </c>
      <c r="AB61" s="226">
        <f t="shared" si="21"/>
        <v>275276.72290436423</v>
      </c>
      <c r="AC61" s="226">
        <f t="shared" si="21"/>
        <v>275168.29535398708</v>
      </c>
      <c r="AD61" s="226">
        <f t="shared" si="21"/>
        <v>275059.87751185399</v>
      </c>
      <c r="AE61" s="226">
        <f t="shared" si="21"/>
        <v>274951.47004733764</v>
      </c>
      <c r="AF61" s="226">
        <f t="shared" si="21"/>
        <v>274843.07361607766</v>
      </c>
      <c r="AG61" s="226">
        <f t="shared" si="21"/>
        <v>274734.68886025465</v>
      </c>
      <c r="AH61" s="226">
        <f t="shared" si="21"/>
        <v>274626.31640886184</v>
      </c>
      <c r="AI61" s="226">
        <f t="shared" si="21"/>
        <v>274517.95687796606</v>
      </c>
      <c r="AJ61" s="250">
        <f t="shared" si="21"/>
        <v>274409.61087096977</v>
      </c>
    </row>
    <row r="62" spans="1:36" ht="15.75" thickBot="1">
      <c r="A62" s="374" t="s">
        <v>406</v>
      </c>
      <c r="B62" s="375"/>
      <c r="C62" s="375"/>
      <c r="D62" s="376"/>
      <c r="E62" s="226"/>
      <c r="F62" s="226"/>
      <c r="G62" s="226"/>
      <c r="H62" s="226"/>
      <c r="I62" s="226"/>
      <c r="J62" s="226"/>
      <c r="K62" s="226"/>
      <c r="L62" s="226"/>
      <c r="M62" s="226"/>
      <c r="N62" s="226"/>
      <c r="O62" s="226"/>
      <c r="P62" s="226"/>
      <c r="Q62" s="226"/>
      <c r="R62" s="226"/>
      <c r="S62" s="226"/>
      <c r="T62" s="10"/>
      <c r="U62" s="10"/>
      <c r="V62" s="10"/>
      <c r="W62" s="9"/>
      <c r="X62" s="9"/>
      <c r="Y62" s="9"/>
      <c r="Z62" s="9"/>
      <c r="AA62" s="9"/>
      <c r="AB62" s="9"/>
      <c r="AC62" s="9"/>
      <c r="AD62" s="9"/>
      <c r="AE62" s="9"/>
      <c r="AF62" s="9"/>
      <c r="AG62" s="9"/>
      <c r="AH62" s="9"/>
      <c r="AI62" s="9"/>
      <c r="AJ62" s="339"/>
    </row>
    <row r="63" spans="1:36" ht="15.75" thickBot="1">
      <c r="A63" s="380" t="s">
        <v>407</v>
      </c>
      <c r="B63" s="389"/>
      <c r="C63" s="389"/>
      <c r="D63" s="382"/>
      <c r="E63" s="253">
        <f>+E59+E62-E61</f>
        <v>-1038482.2399760839</v>
      </c>
      <c r="F63" s="253">
        <f>+F59+F62-F61</f>
        <v>124189.10810045515</v>
      </c>
      <c r="G63" s="253">
        <f t="shared" ref="G63:AJ63" si="22">+G59+G62-G61</f>
        <v>123987.71932056161</v>
      </c>
      <c r="H63" s="253">
        <f t="shared" si="22"/>
        <v>-281819.81196225173</v>
      </c>
      <c r="I63" s="253">
        <f t="shared" si="22"/>
        <v>-242874.15093864783</v>
      </c>
      <c r="J63" s="253">
        <f t="shared" si="22"/>
        <v>-203928.50298941275</v>
      </c>
      <c r="K63" s="253">
        <f t="shared" si="22"/>
        <v>-164982.8662364617</v>
      </c>
      <c r="L63" s="253">
        <f t="shared" si="22"/>
        <v>-126037.23883992148</v>
      </c>
      <c r="M63" s="253">
        <f t="shared" si="22"/>
        <v>-87091.618997361162</v>
      </c>
      <c r="N63" s="253">
        <f>+N59+N62-N61</f>
        <v>-48146.004943044245</v>
      </c>
      <c r="O63" s="253">
        <f t="shared" si="22"/>
        <v>-9200.3949471956294</v>
      </c>
      <c r="P63" s="253">
        <f t="shared" si="22"/>
        <v>29745.212684718746</v>
      </c>
      <c r="Q63" s="253">
        <f t="shared" si="22"/>
        <v>68690.819612697407</v>
      </c>
      <c r="R63" s="253">
        <f t="shared" si="22"/>
        <v>513242.55301751982</v>
      </c>
      <c r="S63" s="253">
        <f t="shared" si="22"/>
        <v>513041.08163968765</v>
      </c>
      <c r="T63" s="253">
        <f t="shared" si="22"/>
        <v>512839.61433753965</v>
      </c>
      <c r="U63" s="253">
        <f t="shared" si="22"/>
        <v>512638.15263970272</v>
      </c>
      <c r="V63" s="253">
        <f t="shared" si="22"/>
        <v>512436.69804358674</v>
      </c>
      <c r="W63" s="253">
        <f t="shared" si="22"/>
        <v>512235.25201601029</v>
      </c>
      <c r="X63" s="253">
        <f t="shared" si="22"/>
        <v>512033.81599381252</v>
      </c>
      <c r="Y63" s="253">
        <f t="shared" si="22"/>
        <v>511832.39138445078</v>
      </c>
      <c r="Z63" s="253">
        <f t="shared" si="22"/>
        <v>511630.97956659237</v>
      </c>
      <c r="AA63" s="253">
        <f t="shared" si="22"/>
        <v>511429.58189068717</v>
      </c>
      <c r="AB63" s="253">
        <f t="shared" si="22"/>
        <v>511228.1996795336</v>
      </c>
      <c r="AC63" s="253">
        <f t="shared" si="22"/>
        <v>511026.83422883315</v>
      </c>
      <c r="AD63" s="253">
        <f t="shared" si="22"/>
        <v>510825.48680772894</v>
      </c>
      <c r="AE63" s="253">
        <f t="shared" si="22"/>
        <v>510624.15865934134</v>
      </c>
      <c r="AF63" s="253">
        <f t="shared" si="22"/>
        <v>510422.85100128711</v>
      </c>
      <c r="AG63" s="253">
        <f t="shared" si="22"/>
        <v>510221.56502618728</v>
      </c>
      <c r="AH63" s="253">
        <f t="shared" si="22"/>
        <v>510020.30190217198</v>
      </c>
      <c r="AI63" s="253">
        <f t="shared" si="22"/>
        <v>509819.06277336564</v>
      </c>
      <c r="AJ63" s="254">
        <f t="shared" si="22"/>
        <v>509617.84876037244</v>
      </c>
    </row>
    <row r="64" spans="1:36" ht="15.75" thickBot="1">
      <c r="A64" s="650" t="s">
        <v>468</v>
      </c>
      <c r="B64" s="651"/>
      <c r="C64" s="651"/>
      <c r="D64" s="652"/>
      <c r="E64" s="345">
        <f>E63</f>
        <v>-1038482.2399760839</v>
      </c>
      <c r="F64" s="345">
        <f t="shared" ref="F64:AJ64" si="23">E64+F63</f>
        <v>-914293.13187562872</v>
      </c>
      <c r="G64" s="345">
        <f t="shared" si="23"/>
        <v>-790305.4125550671</v>
      </c>
      <c r="H64" s="345">
        <f t="shared" si="23"/>
        <v>-1072125.2245173189</v>
      </c>
      <c r="I64" s="345">
        <f t="shared" si="23"/>
        <v>-1314999.3754559667</v>
      </c>
      <c r="J64" s="345">
        <f t="shared" si="23"/>
        <v>-1518927.8784453794</v>
      </c>
      <c r="K64" s="345">
        <f t="shared" si="23"/>
        <v>-1683910.7446818412</v>
      </c>
      <c r="L64" s="345">
        <f t="shared" si="23"/>
        <v>-1809947.9835217628</v>
      </c>
      <c r="M64" s="345">
        <f t="shared" si="23"/>
        <v>-1897039.6025191238</v>
      </c>
      <c r="N64" s="345">
        <f t="shared" si="23"/>
        <v>-1945185.607462168</v>
      </c>
      <c r="O64" s="345">
        <f t="shared" si="23"/>
        <v>-1954386.0024093636</v>
      </c>
      <c r="P64" s="345">
        <f t="shared" si="23"/>
        <v>-1924640.789724645</v>
      </c>
      <c r="Q64" s="345">
        <f t="shared" si="23"/>
        <v>-1855949.9701119475</v>
      </c>
      <c r="R64" s="345">
        <f t="shared" si="23"/>
        <v>-1342707.4170944276</v>
      </c>
      <c r="S64" s="345">
        <f t="shared" si="23"/>
        <v>-829666.33545473998</v>
      </c>
      <c r="T64" s="345">
        <f t="shared" si="23"/>
        <v>-316826.72111720033</v>
      </c>
      <c r="U64" s="345">
        <f t="shared" si="23"/>
        <v>195811.43152250239</v>
      </c>
      <c r="V64" s="345">
        <f t="shared" si="23"/>
        <v>708248.12956608913</v>
      </c>
      <c r="W64" s="345">
        <f t="shared" si="23"/>
        <v>1220483.3815820995</v>
      </c>
      <c r="X64" s="345">
        <f t="shared" si="23"/>
        <v>1732517.1975759119</v>
      </c>
      <c r="Y64" s="345">
        <f t="shared" si="23"/>
        <v>2244349.5889603626</v>
      </c>
      <c r="Z64" s="345">
        <f t="shared" si="23"/>
        <v>2755980.5685269549</v>
      </c>
      <c r="AA64" s="345">
        <f t="shared" si="23"/>
        <v>3267410.1504176422</v>
      </c>
      <c r="AB64" s="345">
        <f t="shared" si="23"/>
        <v>3778638.3500971757</v>
      </c>
      <c r="AC64" s="345">
        <f t="shared" si="23"/>
        <v>4289665.1843260089</v>
      </c>
      <c r="AD64" s="345">
        <f t="shared" si="23"/>
        <v>4800490.671133738</v>
      </c>
      <c r="AE64" s="345">
        <f t="shared" si="23"/>
        <v>5311114.8297930798</v>
      </c>
      <c r="AF64" s="345">
        <f t="shared" si="23"/>
        <v>5821537.6807943666</v>
      </c>
      <c r="AG64" s="345">
        <f t="shared" si="23"/>
        <v>6331759.245820554</v>
      </c>
      <c r="AH64" s="345">
        <f t="shared" si="23"/>
        <v>6841779.5477227261</v>
      </c>
      <c r="AI64" s="345">
        <f t="shared" si="23"/>
        <v>7351598.6104960917</v>
      </c>
      <c r="AJ64" s="346">
        <f t="shared" si="23"/>
        <v>7861216.4592564637</v>
      </c>
    </row>
    <row r="65" spans="1:36">
      <c r="A65" s="279"/>
      <c r="B65" s="279"/>
      <c r="C65" s="279"/>
      <c r="D65" s="279"/>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row>
    <row r="66" spans="1:36" ht="18.75">
      <c r="A66" s="313" t="s">
        <v>218</v>
      </c>
      <c r="B66" s="314"/>
      <c r="C66" s="314"/>
      <c r="D66" s="314"/>
      <c r="E66" s="314"/>
      <c r="F66" s="314"/>
      <c r="G66" s="641" t="s">
        <v>471</v>
      </c>
      <c r="H66" s="641"/>
      <c r="I66" s="641"/>
      <c r="J66" s="641"/>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row>
    <row r="67" spans="1:36" ht="15.75">
      <c r="A67" s="245" t="s">
        <v>413</v>
      </c>
      <c r="B67" s="219"/>
      <c r="C67" s="219"/>
      <c r="D67" s="246"/>
      <c r="E67" s="246"/>
      <c r="F67" s="246"/>
      <c r="G67" s="246"/>
      <c r="H67" s="246"/>
      <c r="I67" s="246"/>
      <c r="J67" s="246"/>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row>
    <row r="68" spans="1:36" ht="15.75" thickBot="1">
      <c r="A68" s="219"/>
      <c r="B68" s="219"/>
      <c r="C68" s="219"/>
      <c r="D68" s="231"/>
      <c r="E68" s="231"/>
      <c r="F68" s="231"/>
      <c r="G68" s="231"/>
      <c r="H68" s="231"/>
      <c r="I68" s="231"/>
      <c r="J68" s="231"/>
      <c r="K68" s="231"/>
      <c r="L68" s="231"/>
      <c r="M68" s="231"/>
      <c r="N68" s="231"/>
      <c r="O68" s="231"/>
      <c r="P68" s="231"/>
      <c r="Q68" s="231"/>
      <c r="R68" s="231"/>
      <c r="S68" s="231"/>
      <c r="T68" s="14"/>
      <c r="U68" s="14"/>
      <c r="V68" s="14"/>
    </row>
    <row r="69" spans="1:36">
      <c r="A69" s="219"/>
      <c r="B69" s="219"/>
      <c r="E69" s="257" t="s">
        <v>237</v>
      </c>
      <c r="F69" s="258">
        <v>0.16</v>
      </c>
      <c r="G69" s="248">
        <f>+NPV(F69,F63:AJ63)+E63</f>
        <v>-880125.83566466928</v>
      </c>
      <c r="H69" s="259" t="s">
        <v>392</v>
      </c>
      <c r="I69" s="231"/>
      <c r="J69" s="231"/>
      <c r="K69" s="231"/>
      <c r="L69" s="231"/>
      <c r="M69" s="231"/>
      <c r="N69" s="231"/>
      <c r="O69" s="231"/>
      <c r="P69" s="231"/>
      <c r="Q69" s="231"/>
      <c r="R69" s="231"/>
      <c r="S69" s="231"/>
      <c r="T69" s="14"/>
      <c r="U69" s="14"/>
      <c r="V69" s="14"/>
    </row>
    <row r="70" spans="1:36" ht="15.75" thickBot="1">
      <c r="A70" s="218"/>
      <c r="B70" s="218"/>
      <c r="E70" s="260" t="s">
        <v>238</v>
      </c>
      <c r="F70" s="261"/>
      <c r="G70" s="262">
        <f>+IRR(E63:AJ63)</f>
        <v>9.3344578837827749E-2</v>
      </c>
      <c r="H70" s="263"/>
      <c r="I70" s="228"/>
      <c r="J70" s="228"/>
      <c r="K70" s="228"/>
      <c r="L70" s="228"/>
    </row>
    <row r="71" spans="1:36" ht="15.75" customHeight="1" thickBot="1">
      <c r="A71" s="218"/>
      <c r="B71" s="218"/>
      <c r="E71" s="665" t="s">
        <v>239</v>
      </c>
      <c r="F71" s="666"/>
      <c r="G71" s="434" t="str">
        <f>+COUNTIF(E75:AJ75,1)&amp;" años y "&amp;ROUND(SUM(E76:AJ76),0)&amp;" días"</f>
        <v>15 años y 226 días</v>
      </c>
      <c r="H71" s="435"/>
      <c r="I71" s="228"/>
      <c r="J71" s="228"/>
      <c r="K71" s="228"/>
      <c r="L71" s="228"/>
    </row>
    <row r="72" spans="1:36">
      <c r="A72" s="218"/>
      <c r="B72" s="218"/>
      <c r="C72" s="233"/>
      <c r="D72" s="233"/>
      <c r="E72" s="217"/>
      <c r="F72" s="217"/>
      <c r="G72" s="228"/>
      <c r="H72" s="228"/>
      <c r="I72" s="228"/>
      <c r="J72" s="228"/>
      <c r="K72" s="228"/>
      <c r="L72" s="228"/>
      <c r="M72" s="228"/>
      <c r="N72" s="228"/>
      <c r="O72" s="228"/>
      <c r="P72" s="228"/>
      <c r="Q72" s="228"/>
      <c r="R72" s="228"/>
      <c r="S72" s="228"/>
      <c r="T72" s="14"/>
      <c r="U72" s="14"/>
      <c r="V72" s="14"/>
    </row>
    <row r="73" spans="1:36" hidden="1">
      <c r="A73" s="218"/>
      <c r="B73" s="218"/>
      <c r="C73" s="233"/>
      <c r="D73" s="233"/>
      <c r="E73" s="217"/>
      <c r="F73" s="217"/>
      <c r="G73" s="228"/>
      <c r="H73" s="228"/>
      <c r="I73" s="228"/>
      <c r="J73" s="228"/>
      <c r="K73" s="228"/>
      <c r="L73" s="228"/>
      <c r="M73" s="228"/>
      <c r="N73" s="228"/>
      <c r="O73" s="228"/>
      <c r="P73" s="228"/>
      <c r="Q73" s="228"/>
      <c r="R73" s="228"/>
      <c r="S73" s="228"/>
      <c r="T73" s="14"/>
      <c r="U73" s="14"/>
      <c r="V73" s="14"/>
    </row>
    <row r="74" spans="1:36" hidden="1"/>
    <row r="75" spans="1:36" hidden="1">
      <c r="A75" s="234"/>
      <c r="B75" s="235"/>
      <c r="C75" s="234"/>
      <c r="D75" s="234"/>
      <c r="E75" s="234"/>
      <c r="F75" s="234">
        <f t="shared" ref="F75:AJ75" si="24">+IF(F64&lt;0,1,(-365*E64/F63))</f>
        <v>1</v>
      </c>
      <c r="G75" s="234">
        <f t="shared" si="24"/>
        <v>1</v>
      </c>
      <c r="H75" s="234">
        <f t="shared" si="24"/>
        <v>1</v>
      </c>
      <c r="I75" s="234">
        <f t="shared" si="24"/>
        <v>1</v>
      </c>
      <c r="J75" s="234">
        <f t="shared" si="24"/>
        <v>1</v>
      </c>
      <c r="K75" s="234">
        <f t="shared" si="24"/>
        <v>1</v>
      </c>
      <c r="L75" s="234">
        <f t="shared" si="24"/>
        <v>1</v>
      </c>
      <c r="M75" s="234">
        <f t="shared" si="24"/>
        <v>1</v>
      </c>
      <c r="N75" s="234">
        <f t="shared" si="24"/>
        <v>1</v>
      </c>
      <c r="O75" s="234">
        <f t="shared" si="24"/>
        <v>1</v>
      </c>
      <c r="P75" s="234">
        <f t="shared" si="24"/>
        <v>1</v>
      </c>
      <c r="Q75" s="234">
        <f t="shared" si="24"/>
        <v>1</v>
      </c>
      <c r="R75" s="234">
        <f t="shared" si="24"/>
        <v>1</v>
      </c>
      <c r="S75" s="234">
        <f t="shared" si="24"/>
        <v>1</v>
      </c>
      <c r="T75" s="234">
        <f t="shared" si="24"/>
        <v>1</v>
      </c>
      <c r="U75" s="234">
        <f t="shared" si="24"/>
        <v>225.58163611566886</v>
      </c>
      <c r="V75" s="234">
        <f t="shared" si="24"/>
        <v>-139.47317352285762</v>
      </c>
      <c r="W75" s="234">
        <f t="shared" si="24"/>
        <v>-504.67156696888674</v>
      </c>
      <c r="X75" s="234">
        <f t="shared" si="24"/>
        <v>-870.01369902266276</v>
      </c>
      <c r="Y75" s="234">
        <f t="shared" si="24"/>
        <v>-1235.4997217052232</v>
      </c>
      <c r="Z75" s="234">
        <f t="shared" si="24"/>
        <v>-1601.1297843310313</v>
      </c>
      <c r="AA75" s="234">
        <f t="shared" si="24"/>
        <v>-1966.9040335788522</v>
      </c>
      <c r="AB75" s="234">
        <f t="shared" si="24"/>
        <v>-2332.8226135608925</v>
      </c>
      <c r="AC75" s="234">
        <f t="shared" si="24"/>
        <v>-2698.8856658902469</v>
      </c>
      <c r="AD75" s="234">
        <f t="shared" si="24"/>
        <v>-3065.0933297467241</v>
      </c>
      <c r="AE75" s="234">
        <f t="shared" si="24"/>
        <v>-3431.4457419410232</v>
      </c>
      <c r="AF75" s="234">
        <f t="shared" si="24"/>
        <v>-3797.9430369773663</v>
      </c>
      <c r="AG75" s="234">
        <f t="shared" si="24"/>
        <v>-4164.5853471146102</v>
      </c>
      <c r="AH75" s="234">
        <f t="shared" si="24"/>
        <v>-4531.3728024258089</v>
      </c>
      <c r="AI75" s="234">
        <f t="shared" si="24"/>
        <v>-4898.3055308563844</v>
      </c>
      <c r="AJ75" s="234">
        <f t="shared" si="24"/>
        <v>-5265.3836582807844</v>
      </c>
    </row>
    <row r="76" spans="1:36" ht="15.75" hidden="1" thickBot="1">
      <c r="A76" s="236"/>
      <c r="B76" s="237"/>
      <c r="C76" s="236"/>
      <c r="D76" s="236"/>
      <c r="E76" s="236"/>
      <c r="F76" s="236">
        <f>+IF(F75&gt;0,IF(F75&lt;&gt;1,F75,0),0)</f>
        <v>0</v>
      </c>
      <c r="G76" s="236">
        <f>+IF(G75&gt;0,IF(G75&lt;&gt;1,G75,0),0)</f>
        <v>0</v>
      </c>
      <c r="H76" s="236">
        <f t="shared" ref="H76:N76" si="25">+IF(H75&gt;0,IF(H75&lt;&gt;1,H75,0),0)</f>
        <v>0</v>
      </c>
      <c r="I76" s="236">
        <f t="shared" si="25"/>
        <v>0</v>
      </c>
      <c r="J76" s="236">
        <f t="shared" si="25"/>
        <v>0</v>
      </c>
      <c r="K76" s="236">
        <f>+IF(K75&gt;0,IF(K75&lt;&gt;1,K75,0),0)</f>
        <v>0</v>
      </c>
      <c r="L76" s="236">
        <f t="shared" si="25"/>
        <v>0</v>
      </c>
      <c r="M76" s="236">
        <f t="shared" si="25"/>
        <v>0</v>
      </c>
      <c r="N76" s="236">
        <f t="shared" si="25"/>
        <v>0</v>
      </c>
      <c r="O76" s="236">
        <f>+IF(O75&gt;0,IF(O75&lt;&gt;1,O75,0),0)</f>
        <v>0</v>
      </c>
      <c r="P76" s="236">
        <f>+IF(P75&gt;0,IF(P75&gt;1,P75,0),0)</f>
        <v>0</v>
      </c>
      <c r="Q76" s="236">
        <f t="shared" ref="Q76:AJ76" si="26">+IF(Q75&gt;0,IF(Q75&lt;&gt;1,Q75,0),0)</f>
        <v>0</v>
      </c>
      <c r="R76" s="236">
        <f t="shared" si="26"/>
        <v>0</v>
      </c>
      <c r="S76" s="236">
        <f t="shared" si="26"/>
        <v>0</v>
      </c>
      <c r="T76" s="236">
        <f t="shared" si="26"/>
        <v>0</v>
      </c>
      <c r="U76" s="236">
        <f t="shared" si="26"/>
        <v>225.58163611566886</v>
      </c>
      <c r="V76" s="236">
        <f t="shared" si="26"/>
        <v>0</v>
      </c>
      <c r="W76" s="236">
        <f t="shared" si="26"/>
        <v>0</v>
      </c>
      <c r="X76" s="236">
        <f t="shared" si="26"/>
        <v>0</v>
      </c>
      <c r="Y76" s="236">
        <f t="shared" si="26"/>
        <v>0</v>
      </c>
      <c r="Z76" s="236">
        <f t="shared" si="26"/>
        <v>0</v>
      </c>
      <c r="AA76" s="236">
        <f t="shared" si="26"/>
        <v>0</v>
      </c>
      <c r="AB76" s="236">
        <f t="shared" si="26"/>
        <v>0</v>
      </c>
      <c r="AC76" s="236">
        <f t="shared" si="26"/>
        <v>0</v>
      </c>
      <c r="AD76" s="236">
        <f t="shared" si="26"/>
        <v>0</v>
      </c>
      <c r="AE76" s="236">
        <f t="shared" si="26"/>
        <v>0</v>
      </c>
      <c r="AF76" s="236">
        <f t="shared" si="26"/>
        <v>0</v>
      </c>
      <c r="AG76" s="236">
        <f t="shared" si="26"/>
        <v>0</v>
      </c>
      <c r="AH76" s="236">
        <f t="shared" si="26"/>
        <v>0</v>
      </c>
      <c r="AI76" s="236">
        <f t="shared" si="26"/>
        <v>0</v>
      </c>
      <c r="AJ76" s="236">
        <f t="shared" si="26"/>
        <v>0</v>
      </c>
    </row>
    <row r="77" spans="1:36" hidden="1">
      <c r="A77" s="238"/>
      <c r="B77" s="239"/>
      <c r="C77" s="238"/>
      <c r="D77" s="238"/>
      <c r="E77" s="240"/>
      <c r="F77" s="238"/>
      <c r="G77" s="238"/>
      <c r="H77" s="238"/>
      <c r="I77" s="238"/>
      <c r="J77" s="238"/>
      <c r="K77" s="238"/>
      <c r="L77" s="238"/>
      <c r="M77" s="238"/>
      <c r="N77" s="238"/>
      <c r="O77" s="238"/>
      <c r="P77" s="238"/>
      <c r="Q77" s="238"/>
      <c r="R77" s="238"/>
      <c r="S77" s="238"/>
      <c r="T77" s="238"/>
      <c r="U77" s="238"/>
      <c r="V77" s="238"/>
      <c r="W77" s="238"/>
      <c r="X77" s="238"/>
      <c r="Y77" s="238"/>
      <c r="Z77" s="238"/>
    </row>
    <row r="78" spans="1:36" hidden="1">
      <c r="A78" s="238"/>
      <c r="B78" s="239"/>
      <c r="C78" s="238"/>
      <c r="D78" s="238"/>
      <c r="E78" s="241"/>
      <c r="F78" s="238"/>
      <c r="G78" s="238"/>
      <c r="H78" s="238"/>
      <c r="I78" s="238"/>
      <c r="J78" s="238"/>
      <c r="K78" s="238"/>
      <c r="L78" s="238"/>
      <c r="M78" s="238"/>
      <c r="N78" s="238"/>
      <c r="O78" s="238"/>
      <c r="P78" s="238"/>
      <c r="Q78" s="238"/>
      <c r="R78" s="238"/>
      <c r="S78" s="238"/>
      <c r="T78" s="238"/>
      <c r="U78" s="238"/>
      <c r="V78" s="238"/>
      <c r="W78" s="238"/>
      <c r="X78" s="238"/>
      <c r="Y78" s="238"/>
      <c r="Z78" s="238"/>
    </row>
    <row r="79" spans="1:36" hidden="1">
      <c r="A79" s="238"/>
      <c r="B79" s="239" t="s">
        <v>411</v>
      </c>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row>
    <row r="80" spans="1:36" ht="15.75" hidden="1" thickBot="1">
      <c r="A80" s="242"/>
      <c r="B80" s="243" t="s">
        <v>412</v>
      </c>
      <c r="C80" s="244"/>
      <c r="D80" s="244"/>
      <c r="E80" s="124">
        <f t="shared" ref="E80:AJ80" si="27">+E63/(1+$F$69)^E54</f>
        <v>-1038482.2399760839</v>
      </c>
      <c r="F80" s="124">
        <f t="shared" si="27"/>
        <v>107059.57594866824</v>
      </c>
      <c r="G80" s="124">
        <f t="shared" si="27"/>
        <v>92143.073216826408</v>
      </c>
      <c r="H80" s="124">
        <f t="shared" si="27"/>
        <v>-180550.0250895971</v>
      </c>
      <c r="I80" s="124">
        <f t="shared" si="27"/>
        <v>-134137.23146869394</v>
      </c>
      <c r="J80" s="124">
        <f t="shared" si="27"/>
        <v>-97093.01448719349</v>
      </c>
      <c r="K80" s="124">
        <f t="shared" si="27"/>
        <v>-67715.939599586025</v>
      </c>
      <c r="L80" s="124">
        <f t="shared" si="27"/>
        <v>-44595.696966821532</v>
      </c>
      <c r="M80" s="124">
        <f t="shared" si="27"/>
        <v>-26565.160867949216</v>
      </c>
      <c r="N80" s="124">
        <f t="shared" si="27"/>
        <v>-12660.135474786041</v>
      </c>
      <c r="O80" s="124">
        <f t="shared" si="27"/>
        <v>-2085.5786797640781</v>
      </c>
      <c r="P80" s="124">
        <f t="shared" si="27"/>
        <v>5812.7172385031417</v>
      </c>
      <c r="Q80" s="124">
        <f t="shared" si="27"/>
        <v>11571.850857253778</v>
      </c>
      <c r="R80" s="124">
        <f t="shared" si="27"/>
        <v>74536.46582491661</v>
      </c>
      <c r="S80" s="124">
        <f t="shared" si="27"/>
        <v>64230.350710110841</v>
      </c>
      <c r="T80" s="124">
        <f t="shared" si="27"/>
        <v>55349.248227139018</v>
      </c>
      <c r="U80" s="124">
        <f t="shared" si="27"/>
        <v>47696.125058327358</v>
      </c>
      <c r="V80" s="124">
        <f t="shared" si="27"/>
        <v>41101.19104834125</v>
      </c>
      <c r="W80" s="124">
        <f t="shared" si="27"/>
        <v>35418.13241011132</v>
      </c>
      <c r="X80" s="124">
        <f t="shared" si="27"/>
        <v>30520.865744368279</v>
      </c>
      <c r="Y80" s="124">
        <f t="shared" si="27"/>
        <v>26300.740863522075</v>
      </c>
      <c r="Z80" s="124">
        <f t="shared" si="27"/>
        <v>22664.130366726899</v>
      </c>
      <c r="AA80" s="124">
        <f t="shared" si="27"/>
        <v>19530.352492549824</v>
      </c>
      <c r="AB80" s="124">
        <f t="shared" si="27"/>
        <v>16829.881169027412</v>
      </c>
      <c r="AC80" s="124">
        <f t="shared" si="27"/>
        <v>14502.803552049645</v>
      </c>
      <c r="AD80" s="124">
        <f t="shared" si="27"/>
        <v>12497.490833286902</v>
      </c>
      <c r="AE80" s="124">
        <f t="shared" si="27"/>
        <v>10769.452830061278</v>
      </c>
      <c r="AF80" s="124">
        <f t="shared" si="27"/>
        <v>9280.35094660902</v>
      </c>
      <c r="AG80" s="124">
        <f t="shared" si="27"/>
        <v>7997.1476095286043</v>
      </c>
      <c r="AH80" s="124">
        <f t="shared" si="27"/>
        <v>6891.3733077948264</v>
      </c>
      <c r="AI80" s="124">
        <f t="shared" si="27"/>
        <v>5938.4949767042435</v>
      </c>
      <c r="AJ80" s="124">
        <f t="shared" si="27"/>
        <v>5117.3717133790515</v>
      </c>
    </row>
    <row r="81" spans="1:36" ht="15.75" hidden="1" thickBot="1">
      <c r="A81" s="236"/>
      <c r="B81" s="237"/>
      <c r="C81" s="236"/>
      <c r="D81" s="236"/>
      <c r="E81" s="236"/>
      <c r="F81" s="236"/>
      <c r="G81" s="236"/>
      <c r="H81" s="236"/>
      <c r="I81" s="236"/>
      <c r="J81" s="236"/>
      <c r="K81" s="236"/>
      <c r="L81" s="236"/>
      <c r="M81" s="236"/>
      <c r="N81" s="236"/>
      <c r="O81" s="236"/>
      <c r="P81" s="236"/>
      <c r="Q81" s="236"/>
      <c r="R81" s="236"/>
      <c r="S81" s="236"/>
      <c r="T81" s="236"/>
      <c r="U81" s="236"/>
      <c r="V81" s="236"/>
      <c r="W81" s="236"/>
      <c r="X81" s="236"/>
      <c r="Y81" s="236"/>
      <c r="Z81" s="236"/>
    </row>
    <row r="82" spans="1:36" hidden="1">
      <c r="A82" s="238"/>
      <c r="B82" s="238"/>
      <c r="C82" s="238"/>
      <c r="D82" s="238"/>
      <c r="E82" s="238"/>
      <c r="F82" s="238"/>
      <c r="G82" s="238"/>
      <c r="H82" s="238"/>
      <c r="I82" s="238"/>
      <c r="J82" s="238"/>
      <c r="K82" s="238"/>
      <c r="L82" s="238"/>
      <c r="M82" s="238"/>
      <c r="N82" s="238"/>
      <c r="O82" s="238"/>
      <c r="P82" s="238"/>
      <c r="Q82" s="238"/>
      <c r="R82" s="238"/>
      <c r="S82" s="238"/>
      <c r="T82" s="238"/>
      <c r="U82" s="238"/>
      <c r="V82" s="238"/>
      <c r="W82" s="238"/>
      <c r="X82" s="238"/>
      <c r="Y82" s="238"/>
      <c r="Z82" s="238"/>
    </row>
    <row r="84" spans="1:36" ht="18.75" customHeight="1"/>
    <row r="85" spans="1:36" ht="18.75">
      <c r="A85" s="313" t="s">
        <v>218</v>
      </c>
      <c r="B85" s="314"/>
      <c r="C85" s="314"/>
      <c r="D85" s="314"/>
      <c r="E85" s="314"/>
      <c r="F85" s="314"/>
      <c r="G85" s="314"/>
      <c r="H85" s="641" t="s">
        <v>458</v>
      </c>
      <c r="I85" s="641"/>
      <c r="J85" s="641"/>
      <c r="K85" s="14"/>
    </row>
    <row r="86" spans="1:36" ht="18.75">
      <c r="A86" s="313"/>
      <c r="B86" s="314"/>
      <c r="C86" s="314"/>
      <c r="D86" s="314"/>
      <c r="E86" s="314"/>
      <c r="F86" s="314"/>
      <c r="G86" s="314"/>
      <c r="H86" s="438"/>
      <c r="I86" s="438"/>
      <c r="J86" s="438"/>
      <c r="K86" s="14"/>
    </row>
    <row r="87" spans="1:36">
      <c r="A87" s="96" t="s">
        <v>219</v>
      </c>
    </row>
    <row r="88" spans="1:36">
      <c r="B88" t="s">
        <v>220</v>
      </c>
      <c r="D88" s="112" t="s">
        <v>392</v>
      </c>
      <c r="E88" s="16">
        <f>'RESUMEN PRESUPUESTO'!E18*D91</f>
        <v>5192411.1998804212</v>
      </c>
      <c r="G88" t="s">
        <v>429</v>
      </c>
      <c r="J88" s="162">
        <v>0.01</v>
      </c>
    </row>
    <row r="89" spans="1:36">
      <c r="B89" t="s">
        <v>236</v>
      </c>
      <c r="E89" s="112" t="s">
        <v>430</v>
      </c>
      <c r="G89" t="s">
        <v>408</v>
      </c>
      <c r="J89" s="162">
        <v>0.01</v>
      </c>
    </row>
    <row r="90" spans="1:36">
      <c r="B90" t="s">
        <v>221</v>
      </c>
      <c r="E90">
        <v>2017</v>
      </c>
      <c r="G90" t="s">
        <v>415</v>
      </c>
      <c r="J90" s="341">
        <v>2.5000000000000001E-2</v>
      </c>
    </row>
    <row r="91" spans="1:36">
      <c r="B91" s="6" t="s">
        <v>222</v>
      </c>
      <c r="D91">
        <v>9.5399999999999991</v>
      </c>
      <c r="E91" s="4" t="s">
        <v>223</v>
      </c>
      <c r="G91" t="s">
        <v>431</v>
      </c>
      <c r="J91" s="162">
        <v>0.06</v>
      </c>
    </row>
    <row r="92" spans="1:36" ht="18.75" customHeight="1">
      <c r="N92" s="313"/>
      <c r="O92" s="314"/>
      <c r="P92" s="314"/>
      <c r="Q92" s="314"/>
      <c r="R92" s="314"/>
      <c r="S92" s="314"/>
      <c r="T92" s="642"/>
      <c r="U92" s="642"/>
      <c r="V92" s="642"/>
      <c r="W92" s="642"/>
      <c r="X92" s="417"/>
      <c r="Y92" s="313"/>
      <c r="Z92" s="314"/>
      <c r="AA92" s="314"/>
      <c r="AB92" s="314"/>
      <c r="AC92" s="314"/>
      <c r="AD92" s="314"/>
      <c r="AE92" s="642"/>
      <c r="AF92" s="642"/>
      <c r="AG92" s="642"/>
      <c r="AH92" s="642"/>
    </row>
    <row r="93" spans="1:36">
      <c r="A93" s="454" t="s">
        <v>410</v>
      </c>
      <c r="B93" s="454"/>
      <c r="C93" s="454"/>
      <c r="D93" s="454"/>
      <c r="E93" s="232"/>
      <c r="F93" s="232">
        <v>1</v>
      </c>
      <c r="G93" s="270">
        <f t="shared" ref="G93:AJ93" si="28">F93+$J$90*F93</f>
        <v>1.0249999999999999</v>
      </c>
      <c r="H93" s="270">
        <f t="shared" si="28"/>
        <v>1.0506249999999999</v>
      </c>
      <c r="I93" s="270">
        <f t="shared" si="28"/>
        <v>1.0768906249999999</v>
      </c>
      <c r="J93" s="270">
        <f t="shared" si="28"/>
        <v>1.103812890625</v>
      </c>
      <c r="K93" s="270">
        <f t="shared" si="28"/>
        <v>1.1314082128906251</v>
      </c>
      <c r="L93" s="270">
        <f t="shared" si="28"/>
        <v>1.1596934182128906</v>
      </c>
      <c r="M93" s="270">
        <f t="shared" si="28"/>
        <v>1.1886857536682129</v>
      </c>
      <c r="N93" s="270">
        <f t="shared" si="28"/>
        <v>1.2184028975099184</v>
      </c>
      <c r="O93" s="270">
        <f t="shared" si="28"/>
        <v>1.2488629699476663</v>
      </c>
      <c r="P93" s="270">
        <f t="shared" si="28"/>
        <v>1.280084544196358</v>
      </c>
      <c r="Q93" s="270">
        <f t="shared" si="28"/>
        <v>1.3120866578012669</v>
      </c>
      <c r="R93" s="270">
        <f t="shared" si="28"/>
        <v>1.3448888242462986</v>
      </c>
      <c r="S93" s="270">
        <f t="shared" si="28"/>
        <v>1.378511044852456</v>
      </c>
      <c r="T93" s="270">
        <f t="shared" si="28"/>
        <v>1.4129738209737674</v>
      </c>
      <c r="U93" s="270">
        <f t="shared" si="28"/>
        <v>1.4482981664981116</v>
      </c>
      <c r="V93" s="270">
        <f t="shared" si="28"/>
        <v>1.4845056206605645</v>
      </c>
      <c r="W93" s="270">
        <f t="shared" si="28"/>
        <v>1.5216182611770785</v>
      </c>
      <c r="X93" s="270">
        <f t="shared" si="28"/>
        <v>1.5596587177065055</v>
      </c>
      <c r="Y93" s="270">
        <f t="shared" si="28"/>
        <v>1.5986501856491682</v>
      </c>
      <c r="Z93" s="270">
        <f t="shared" si="28"/>
        <v>1.6386164402903973</v>
      </c>
      <c r="AA93" s="270">
        <f t="shared" si="28"/>
        <v>1.6795818512976572</v>
      </c>
      <c r="AB93" s="270">
        <f t="shared" si="28"/>
        <v>1.7215713975800986</v>
      </c>
      <c r="AC93" s="270">
        <f t="shared" si="28"/>
        <v>1.7646106825196011</v>
      </c>
      <c r="AD93" s="270">
        <f t="shared" si="28"/>
        <v>1.8087259495825911</v>
      </c>
      <c r="AE93" s="270">
        <f t="shared" si="28"/>
        <v>1.853944098322156</v>
      </c>
      <c r="AF93" s="270">
        <f t="shared" si="28"/>
        <v>1.90029270078021</v>
      </c>
      <c r="AG93" s="270">
        <f t="shared" si="28"/>
        <v>1.9478000182997153</v>
      </c>
      <c r="AH93" s="270">
        <f t="shared" si="28"/>
        <v>1.9964950187572081</v>
      </c>
      <c r="AI93" s="270">
        <f t="shared" si="28"/>
        <v>2.0464073942261383</v>
      </c>
      <c r="AJ93" s="270">
        <f t="shared" si="28"/>
        <v>2.0975675790817916</v>
      </c>
    </row>
    <row r="95" spans="1:36" ht="15.75">
      <c r="A95" s="245" t="s">
        <v>224</v>
      </c>
      <c r="N95" s="245"/>
      <c r="Y95" s="245"/>
    </row>
    <row r="96" spans="1:36" ht="15.75" thickBot="1"/>
    <row r="97" spans="1:44" ht="15.75" thickBot="1">
      <c r="A97" s="646" t="s">
        <v>79</v>
      </c>
      <c r="B97" s="647"/>
      <c r="C97" s="647"/>
      <c r="D97" s="676"/>
      <c r="E97" s="440">
        <v>0</v>
      </c>
      <c r="F97" s="440">
        <v>1</v>
      </c>
      <c r="G97" s="440">
        <v>2</v>
      </c>
      <c r="H97" s="440">
        <v>3</v>
      </c>
      <c r="I97" s="440">
        <v>4</v>
      </c>
      <c r="J97" s="440">
        <v>5</v>
      </c>
      <c r="K97" s="440">
        <v>6</v>
      </c>
      <c r="L97" s="440">
        <v>7</v>
      </c>
      <c r="M97" s="440">
        <v>8</v>
      </c>
      <c r="N97" s="440">
        <v>9</v>
      </c>
      <c r="O97" s="440">
        <v>10</v>
      </c>
      <c r="P97" s="440">
        <v>11</v>
      </c>
      <c r="Q97" s="440">
        <v>12</v>
      </c>
      <c r="R97" s="440">
        <v>13</v>
      </c>
      <c r="S97" s="440">
        <v>14</v>
      </c>
      <c r="T97" s="440">
        <v>15</v>
      </c>
      <c r="U97" s="440">
        <v>16</v>
      </c>
      <c r="V97" s="440">
        <v>17</v>
      </c>
      <c r="W97" s="440">
        <v>18</v>
      </c>
      <c r="X97" s="440">
        <v>19</v>
      </c>
      <c r="Y97" s="440">
        <v>20</v>
      </c>
      <c r="Z97" s="440">
        <v>21</v>
      </c>
      <c r="AA97" s="440">
        <v>22</v>
      </c>
      <c r="AB97" s="440">
        <v>23</v>
      </c>
      <c r="AC97" s="440">
        <v>24</v>
      </c>
      <c r="AD97" s="440">
        <v>25</v>
      </c>
      <c r="AE97" s="440">
        <v>26</v>
      </c>
      <c r="AF97" s="440">
        <v>27</v>
      </c>
      <c r="AG97" s="440">
        <v>28</v>
      </c>
      <c r="AH97" s="440">
        <v>29</v>
      </c>
      <c r="AI97" s="440">
        <v>30</v>
      </c>
      <c r="AJ97" s="441">
        <v>31</v>
      </c>
      <c r="AK97" s="282"/>
      <c r="AL97" s="282"/>
      <c r="AM97" s="282"/>
      <c r="AN97" s="282"/>
      <c r="AO97" s="282"/>
      <c r="AP97" s="282"/>
      <c r="AQ97" s="282"/>
      <c r="AR97" s="282"/>
    </row>
    <row r="98" spans="1:44">
      <c r="A98" s="658" t="s">
        <v>225</v>
      </c>
      <c r="B98" s="659"/>
      <c r="C98" s="659"/>
      <c r="D98" s="659"/>
      <c r="E98" s="342"/>
      <c r="F98" s="264"/>
      <c r="G98" s="264"/>
      <c r="H98" s="264"/>
      <c r="I98" s="264"/>
      <c r="J98" s="264"/>
      <c r="K98" s="264"/>
      <c r="L98" s="264"/>
      <c r="M98" s="264"/>
      <c r="N98" s="264"/>
      <c r="O98" s="264"/>
      <c r="P98" s="264"/>
      <c r="Q98" s="264"/>
      <c r="R98" s="264"/>
      <c r="S98" s="264"/>
      <c r="T98" s="264"/>
      <c r="U98" s="264"/>
      <c r="V98" s="264"/>
      <c r="W98" s="264"/>
      <c r="X98" s="264"/>
      <c r="Y98" s="264"/>
      <c r="Z98" s="264"/>
      <c r="AA98" s="264"/>
      <c r="AB98" s="264"/>
      <c r="AC98" s="264"/>
      <c r="AD98" s="264"/>
      <c r="AE98" s="264"/>
      <c r="AF98" s="264"/>
      <c r="AG98" s="264"/>
      <c r="AH98" s="264"/>
      <c r="AI98" s="264"/>
      <c r="AJ98" s="269"/>
    </row>
    <row r="99" spans="1:44">
      <c r="A99" s="363"/>
      <c r="B99" s="364" t="s">
        <v>234</v>
      </c>
      <c r="C99" s="365"/>
      <c r="D99" s="365"/>
      <c r="E99" s="343"/>
      <c r="F99" s="37">
        <f>INGRESOS!$I$109</f>
        <v>2187462.97709148</v>
      </c>
      <c r="G99" s="37">
        <f>INGRESOS!$I$110*G93</f>
        <v>2375501.8205098929</v>
      </c>
      <c r="H99" s="37">
        <f>INGRESOS!$I$111*H93</f>
        <v>2579776.6062814984</v>
      </c>
      <c r="I99" s="37">
        <f>INGRESOS!$I$112*I93</f>
        <v>2801691.0079797856</v>
      </c>
      <c r="J99" s="37">
        <f>INGRESOS!$I$113*J93</f>
        <v>3042770.0985563481</v>
      </c>
      <c r="K99" s="37">
        <f>INGRESOS!$I$114*K93</f>
        <v>3304670.8509274414</v>
      </c>
      <c r="L99" s="37">
        <f>INGRESOS!$I$115*L93</f>
        <v>3589193.546849783</v>
      </c>
      <c r="M99" s="37">
        <f>INGRESOS!$I$116*M93</f>
        <v>3898294.1726523349</v>
      </c>
      <c r="N99" s="37">
        <f>INGRESOS!$I$117*N93</f>
        <v>4234097.8871868085</v>
      </c>
      <c r="O99" s="37">
        <f>INGRESOS!$I$118*O93</f>
        <v>4598913.6547435159</v>
      </c>
      <c r="P99" s="37">
        <f>INGRESOS!$I$119*P93</f>
        <v>4995250.1437017545</v>
      </c>
      <c r="Q99" s="37">
        <f>INGRESOS!$I$120*Q93</f>
        <v>5425833.0004004538</v>
      </c>
      <c r="R99" s="37">
        <f>INGRESOS!$I$121*R93</f>
        <v>5893623.6171853039</v>
      </c>
      <c r="S99" s="37">
        <f>INGRESOS!$I$122*S93</f>
        <v>6401839.5238782968</v>
      </c>
      <c r="T99" s="37">
        <f>INGRESOS!$I$123*T93</f>
        <v>6953976.5430953968</v>
      </c>
      <c r="U99" s="37">
        <f>INGRESOS!$I$124*U93</f>
        <v>7553832.8619848164</v>
      </c>
      <c r="V99" s="37">
        <f>INGRESOS!$I$125*V93</f>
        <v>8205535.1861559618</v>
      </c>
      <c r="W99" s="37">
        <f>INGRESOS!$I$126*W93</f>
        <v>8913567.1559081487</v>
      </c>
      <c r="X99" s="37">
        <f>INGRESOS!$I$127*X93</f>
        <v>9682800.2204476427</v>
      </c>
      <c r="Y99" s="37">
        <f>INGRESOS!$I$128*Y93</f>
        <v>10518527.182708638</v>
      </c>
      <c r="Z99" s="37">
        <f>INGRESOS!$I$129*Z93</f>
        <v>11426498.645785013</v>
      </c>
      <c r="AA99" s="37">
        <f>INGRESOS!$I$130*AA93</f>
        <v>12412962.611961799</v>
      </c>
      <c r="AB99" s="37">
        <f>INGRESOS!$I$131*AB93</f>
        <v>13484707.507045787</v>
      </c>
      <c r="AC99" s="37">
        <f>INGRESOS!$I$132*AC93</f>
        <v>14649108.926283272</v>
      </c>
      <c r="AD99" s="37">
        <f>INGRESOS!$I$133*AD93</f>
        <v>15914180.423781756</v>
      </c>
      <c r="AE99" s="37">
        <f>INGRESOS!$I$134*AE93</f>
        <v>17288628.695198227</v>
      </c>
      <c r="AF99" s="37">
        <f>INGRESOS!$I$135*AF93</f>
        <v>18781913.533711206</v>
      </c>
      <c r="AG99" s="37">
        <f>INGRESOS!$I$136*AG93</f>
        <v>20404312.972165018</v>
      </c>
      <c r="AH99" s="37">
        <f>INGRESOS!$I$137*AH93</f>
        <v>22166994.05998978</v>
      </c>
      <c r="AI99" s="37">
        <f>INGRESOS!$I$138*AI93</f>
        <v>24082089.762304693</v>
      </c>
      <c r="AJ99" s="344">
        <f>INGRESOS!$I$139*AJ93</f>
        <v>26162782.510772988</v>
      </c>
      <c r="AK99" s="37"/>
    </row>
    <row r="100" spans="1:44" ht="15.75" thickBot="1">
      <c r="A100" s="366" t="s">
        <v>226</v>
      </c>
      <c r="B100" s="367"/>
      <c r="C100" s="367"/>
      <c r="D100" s="367"/>
      <c r="E100" s="347">
        <f t="shared" ref="E100:S100" si="29">SUM(E99)</f>
        <v>0</v>
      </c>
      <c r="F100" s="123">
        <f t="shared" si="29"/>
        <v>2187462.97709148</v>
      </c>
      <c r="G100" s="123">
        <f>SUM(G99)</f>
        <v>2375501.8205098929</v>
      </c>
      <c r="H100" s="123">
        <f t="shared" si="29"/>
        <v>2579776.6062814984</v>
      </c>
      <c r="I100" s="123">
        <f t="shared" si="29"/>
        <v>2801691.0079797856</v>
      </c>
      <c r="J100" s="123">
        <f t="shared" si="29"/>
        <v>3042770.0985563481</v>
      </c>
      <c r="K100" s="123">
        <f t="shared" si="29"/>
        <v>3304670.8509274414</v>
      </c>
      <c r="L100" s="123">
        <f t="shared" si="29"/>
        <v>3589193.546849783</v>
      </c>
      <c r="M100" s="123">
        <f t="shared" si="29"/>
        <v>3898294.1726523349</v>
      </c>
      <c r="N100" s="123">
        <f t="shared" si="29"/>
        <v>4234097.8871868085</v>
      </c>
      <c r="O100" s="123">
        <f t="shared" si="29"/>
        <v>4598913.6547435159</v>
      </c>
      <c r="P100" s="123">
        <f t="shared" si="29"/>
        <v>4995250.1437017545</v>
      </c>
      <c r="Q100" s="123">
        <f t="shared" si="29"/>
        <v>5425833.0004004538</v>
      </c>
      <c r="R100" s="123">
        <f t="shared" si="29"/>
        <v>5893623.6171853039</v>
      </c>
      <c r="S100" s="123">
        <f t="shared" si="29"/>
        <v>6401839.5238782968</v>
      </c>
      <c r="T100" s="123">
        <f>SUM(T99)</f>
        <v>6953976.5430953968</v>
      </c>
      <c r="U100" s="123">
        <f t="shared" ref="U100:AJ100" si="30">SUM(U99)</f>
        <v>7553832.8619848164</v>
      </c>
      <c r="V100" s="123">
        <f t="shared" si="30"/>
        <v>8205535.1861559618</v>
      </c>
      <c r="W100" s="123">
        <f t="shared" si="30"/>
        <v>8913567.1559081487</v>
      </c>
      <c r="X100" s="123">
        <f t="shared" si="30"/>
        <v>9682800.2204476427</v>
      </c>
      <c r="Y100" s="123">
        <f t="shared" si="30"/>
        <v>10518527.182708638</v>
      </c>
      <c r="Z100" s="123">
        <f t="shared" si="30"/>
        <v>11426498.645785013</v>
      </c>
      <c r="AA100" s="123">
        <f t="shared" si="30"/>
        <v>12412962.611961799</v>
      </c>
      <c r="AB100" s="123">
        <f t="shared" si="30"/>
        <v>13484707.507045787</v>
      </c>
      <c r="AC100" s="123">
        <f t="shared" si="30"/>
        <v>14649108.926283272</v>
      </c>
      <c r="AD100" s="123">
        <f t="shared" si="30"/>
        <v>15914180.423781756</v>
      </c>
      <c r="AE100" s="123">
        <f t="shared" si="30"/>
        <v>17288628.695198227</v>
      </c>
      <c r="AF100" s="123">
        <f t="shared" si="30"/>
        <v>18781913.533711206</v>
      </c>
      <c r="AG100" s="123">
        <f t="shared" si="30"/>
        <v>20404312.972165018</v>
      </c>
      <c r="AH100" s="123">
        <f t="shared" si="30"/>
        <v>22166994.05998978</v>
      </c>
      <c r="AI100" s="123">
        <f t="shared" si="30"/>
        <v>24082089.762304693</v>
      </c>
      <c r="AJ100" s="348">
        <f t="shared" si="30"/>
        <v>26162782.510772988</v>
      </c>
    </row>
    <row r="101" spans="1:44">
      <c r="A101" s="677" t="s">
        <v>227</v>
      </c>
      <c r="B101" s="678"/>
      <c r="C101" s="678"/>
      <c r="D101" s="678"/>
      <c r="E101" s="342"/>
      <c r="F101" s="264"/>
      <c r="G101" s="264"/>
      <c r="H101" s="264"/>
      <c r="I101" s="264"/>
      <c r="J101" s="264"/>
      <c r="K101" s="264"/>
      <c r="L101" s="264"/>
      <c r="M101" s="264"/>
      <c r="N101" s="264"/>
      <c r="O101" s="264"/>
      <c r="P101" s="264"/>
      <c r="Q101" s="264"/>
      <c r="R101" s="264"/>
      <c r="S101" s="264"/>
      <c r="T101" s="264"/>
      <c r="U101" s="264"/>
      <c r="V101" s="264"/>
      <c r="W101" s="264"/>
      <c r="X101" s="264"/>
      <c r="Y101" s="264"/>
      <c r="Z101" s="264"/>
      <c r="AA101" s="264"/>
      <c r="AB101" s="264"/>
      <c r="AC101" s="264"/>
      <c r="AD101" s="264"/>
      <c r="AE101" s="264"/>
      <c r="AF101" s="264"/>
      <c r="AG101" s="264"/>
      <c r="AH101" s="264"/>
      <c r="AI101" s="264"/>
      <c r="AJ101" s="269"/>
    </row>
    <row r="102" spans="1:44">
      <c r="A102" s="436"/>
      <c r="B102" s="404" t="s">
        <v>440</v>
      </c>
      <c r="C102" s="437"/>
      <c r="D102" s="437"/>
      <c r="E102" s="349"/>
      <c r="F102" s="37">
        <f>EGRESOS!$I$107*F93</f>
        <v>1350390.7551915662</v>
      </c>
      <c r="G102" s="37">
        <f>EGRESOS!$I$108*G93</f>
        <v>1466022.8514156363</v>
      </c>
      <c r="H102" s="37">
        <f>EGRESOS!$I$109*H93</f>
        <v>1591627.7063605888</v>
      </c>
      <c r="I102" s="37">
        <f>EGRESOS!$I$110*I93</f>
        <v>1728067.2282157172</v>
      </c>
      <c r="J102" s="37">
        <f>EGRESOS!$I$111*J93</f>
        <v>1876277.8618426877</v>
      </c>
      <c r="K102" s="37">
        <f>EGRESOS!$I$112*K93</f>
        <v>2037277.0357380493</v>
      </c>
      <c r="L102" s="37">
        <f>EGRESOS!$I$113*L93</f>
        <v>2212170.166646508</v>
      </c>
      <c r="M102" s="37">
        <f>EGRESOS!$I$114*M93</f>
        <v>2402158.2700614771</v>
      </c>
      <c r="N102" s="37">
        <f>EGRESOS!$I$115*N93</f>
        <v>2608546.2290218417</v>
      </c>
      <c r="O102" s="37">
        <f>EGRESOS!$I$116*O93</f>
        <v>2832751.7781472802</v>
      </c>
      <c r="P102" s="37">
        <f>EGRESOS!$I$117*P93</f>
        <v>3076315.2647799435</v>
      </c>
      <c r="Q102" s="37">
        <f>EGRESOS!$I$118*Q93</f>
        <v>3340910.2544519068</v>
      </c>
      <c r="R102" s="37">
        <f>EGRESOS!$I$119*R93</f>
        <v>3628355.053712206</v>
      </c>
      <c r="S102" s="37">
        <f>EGRESOS!$I$120*S93</f>
        <v>3940625.2296647774</v>
      </c>
      <c r="T102" s="37">
        <f>EGRESOS!$I$121*T93</f>
        <v>4279867.2124324078</v>
      </c>
      <c r="U102" s="37">
        <f>EGRESOS!$I$122*U93</f>
        <v>4648413.0742194792</v>
      </c>
      <c r="V102" s="37">
        <f>EGRESOS!$I$123*V93</f>
        <v>5048796.5867489222</v>
      </c>
      <c r="W102" s="37">
        <f>EGRESOS!$I$124*W93</f>
        <v>5483770.6676523993</v>
      </c>
      <c r="X102" s="37">
        <f>EGRESOS!$I$125*X93</f>
        <v>5956326.3359577702</v>
      </c>
      <c r="Y102" s="37">
        <f>EGRESOS!$I$126*Y93</f>
        <v>6469713.3072103923</v>
      </c>
      <c r="Z102" s="37">
        <f>EGRESOS!$I$127*Z93</f>
        <v>7027462.370056171</v>
      </c>
      <c r="AA102" s="37">
        <f>EGRESOS!$I$128*AA93</f>
        <v>7633409.698382413</v>
      </c>
      <c r="AB102" s="37">
        <f>EGRESOS!$I$129*AB93</f>
        <v>8291723.2664417829</v>
      </c>
      <c r="AC102" s="37">
        <f>EGRESOS!$I$130*AC93</f>
        <v>9006931.5488670226</v>
      </c>
      <c r="AD102" s="37">
        <f>EGRESOS!$I$131*AD93</f>
        <v>9783954.7032189947</v>
      </c>
      <c r="AE102" s="37">
        <f>EGRESOS!$I$132*AE93</f>
        <v>10628138.449806789</v>
      </c>
      <c r="AF102" s="37">
        <f>EGRESOS!$I$133*AF93</f>
        <v>11545290.882093411</v>
      </c>
      <c r="AG102" s="37">
        <f>EGRESOS!$I$134*AG93</f>
        <v>12541722.461182283</v>
      </c>
      <c r="AH102" s="37">
        <f>EGRESOS!$I$135*AH93</f>
        <v>13624289.469807036</v>
      </c>
      <c r="AI102" s="37">
        <f>EGRESOS!$I$136*AI93</f>
        <v>14800441.225071143</v>
      </c>
      <c r="AJ102" s="344">
        <f>EGRESOS!$I$137*AJ93</f>
        <v>16078271.375068739</v>
      </c>
    </row>
    <row r="103" spans="1:44">
      <c r="A103" s="363"/>
      <c r="B103" s="365" t="s">
        <v>459</v>
      </c>
      <c r="C103" s="365"/>
      <c r="D103" s="365"/>
      <c r="E103" s="349">
        <v>0</v>
      </c>
      <c r="F103" s="37">
        <f t="shared" ref="F103:AJ103" si="31">F99*$J$88</f>
        <v>21874.629770914802</v>
      </c>
      <c r="G103" s="37">
        <f t="shared" si="31"/>
        <v>23755.018205098928</v>
      </c>
      <c r="H103" s="37">
        <f t="shared" si="31"/>
        <v>25797.766062814986</v>
      </c>
      <c r="I103" s="37">
        <f t="shared" si="31"/>
        <v>28016.910079797857</v>
      </c>
      <c r="J103" s="37">
        <f t="shared" si="31"/>
        <v>30427.700985563482</v>
      </c>
      <c r="K103" s="37">
        <f t="shared" si="31"/>
        <v>33046.708509274416</v>
      </c>
      <c r="L103" s="37">
        <f t="shared" si="31"/>
        <v>35891.935468497832</v>
      </c>
      <c r="M103" s="37">
        <f t="shared" si="31"/>
        <v>38982.94172652335</v>
      </c>
      <c r="N103" s="37">
        <f t="shared" si="31"/>
        <v>42340.978871868087</v>
      </c>
      <c r="O103" s="37">
        <f t="shared" si="31"/>
        <v>45989.136547435162</v>
      </c>
      <c r="P103" s="37">
        <f t="shared" si="31"/>
        <v>49952.501437017549</v>
      </c>
      <c r="Q103" s="37">
        <f t="shared" si="31"/>
        <v>54258.330004004536</v>
      </c>
      <c r="R103" s="37">
        <f t="shared" si="31"/>
        <v>58936.236171853037</v>
      </c>
      <c r="S103" s="37">
        <f t="shared" si="31"/>
        <v>64018.39523878297</v>
      </c>
      <c r="T103" s="37">
        <f t="shared" si="31"/>
        <v>69539.765430953965</v>
      </c>
      <c r="U103" s="37">
        <f t="shared" si="31"/>
        <v>75538.328619848166</v>
      </c>
      <c r="V103" s="37">
        <f t="shared" si="31"/>
        <v>82055.351861559626</v>
      </c>
      <c r="W103" s="37">
        <f t="shared" si="31"/>
        <v>89135.671559081486</v>
      </c>
      <c r="X103" s="37">
        <f t="shared" si="31"/>
        <v>96828.002204476434</v>
      </c>
      <c r="Y103" s="37">
        <f t="shared" si="31"/>
        <v>105185.27182708638</v>
      </c>
      <c r="Z103" s="37">
        <f t="shared" si="31"/>
        <v>114264.98645785013</v>
      </c>
      <c r="AA103" s="37">
        <f t="shared" si="31"/>
        <v>124129.62611961798</v>
      </c>
      <c r="AB103" s="37">
        <f t="shared" si="31"/>
        <v>134847.07507045788</v>
      </c>
      <c r="AC103" s="37">
        <f t="shared" si="31"/>
        <v>146491.08926283271</v>
      </c>
      <c r="AD103" s="37">
        <f t="shared" si="31"/>
        <v>159141.80423781756</v>
      </c>
      <c r="AE103" s="37">
        <f t="shared" si="31"/>
        <v>172886.28695198227</v>
      </c>
      <c r="AF103" s="37">
        <f t="shared" si="31"/>
        <v>187819.13533711206</v>
      </c>
      <c r="AG103" s="37">
        <f t="shared" si="31"/>
        <v>204043.12972165018</v>
      </c>
      <c r="AH103" s="37">
        <f t="shared" si="31"/>
        <v>221669.94059989782</v>
      </c>
      <c r="AI103" s="37">
        <f t="shared" si="31"/>
        <v>240820.89762304694</v>
      </c>
      <c r="AJ103" s="344">
        <f t="shared" si="31"/>
        <v>261627.82510772988</v>
      </c>
    </row>
    <row r="104" spans="1:44">
      <c r="A104" s="363"/>
      <c r="B104" s="365" t="s">
        <v>460</v>
      </c>
      <c r="C104" s="365"/>
      <c r="D104" s="365"/>
      <c r="E104" s="349">
        <v>0</v>
      </c>
      <c r="F104" s="37">
        <f t="shared" ref="F104:AJ104" si="32">F99*$J$89</f>
        <v>21874.629770914802</v>
      </c>
      <c r="G104" s="37">
        <f t="shared" si="32"/>
        <v>23755.018205098928</v>
      </c>
      <c r="H104" s="37">
        <f t="shared" si="32"/>
        <v>25797.766062814986</v>
      </c>
      <c r="I104" s="37">
        <f t="shared" si="32"/>
        <v>28016.910079797857</v>
      </c>
      <c r="J104" s="37">
        <f t="shared" si="32"/>
        <v>30427.700985563482</v>
      </c>
      <c r="K104" s="37">
        <f t="shared" si="32"/>
        <v>33046.708509274416</v>
      </c>
      <c r="L104" s="37">
        <f t="shared" si="32"/>
        <v>35891.935468497832</v>
      </c>
      <c r="M104" s="37">
        <f t="shared" si="32"/>
        <v>38982.94172652335</v>
      </c>
      <c r="N104" s="37">
        <f t="shared" si="32"/>
        <v>42340.978871868087</v>
      </c>
      <c r="O104" s="37">
        <f t="shared" si="32"/>
        <v>45989.136547435162</v>
      </c>
      <c r="P104" s="37">
        <f t="shared" si="32"/>
        <v>49952.501437017549</v>
      </c>
      <c r="Q104" s="37">
        <f t="shared" si="32"/>
        <v>54258.330004004536</v>
      </c>
      <c r="R104" s="37">
        <f t="shared" si="32"/>
        <v>58936.236171853037</v>
      </c>
      <c r="S104" s="37">
        <f t="shared" si="32"/>
        <v>64018.39523878297</v>
      </c>
      <c r="T104" s="37">
        <f t="shared" si="32"/>
        <v>69539.765430953965</v>
      </c>
      <c r="U104" s="37">
        <f t="shared" si="32"/>
        <v>75538.328619848166</v>
      </c>
      <c r="V104" s="37">
        <f t="shared" si="32"/>
        <v>82055.351861559626</v>
      </c>
      <c r="W104" s="37">
        <f t="shared" si="32"/>
        <v>89135.671559081486</v>
      </c>
      <c r="X104" s="37">
        <f t="shared" si="32"/>
        <v>96828.002204476434</v>
      </c>
      <c r="Y104" s="37">
        <f t="shared" si="32"/>
        <v>105185.27182708638</v>
      </c>
      <c r="Z104" s="37">
        <f t="shared" si="32"/>
        <v>114264.98645785013</v>
      </c>
      <c r="AA104" s="37">
        <f t="shared" si="32"/>
        <v>124129.62611961798</v>
      </c>
      <c r="AB104" s="37">
        <f t="shared" si="32"/>
        <v>134847.07507045788</v>
      </c>
      <c r="AC104" s="37">
        <f t="shared" si="32"/>
        <v>146491.08926283271</v>
      </c>
      <c r="AD104" s="37">
        <f t="shared" si="32"/>
        <v>159141.80423781756</v>
      </c>
      <c r="AE104" s="37">
        <f t="shared" si="32"/>
        <v>172886.28695198227</v>
      </c>
      <c r="AF104" s="37">
        <f t="shared" si="32"/>
        <v>187819.13533711206</v>
      </c>
      <c r="AG104" s="37">
        <f t="shared" si="32"/>
        <v>204043.12972165018</v>
      </c>
      <c r="AH104" s="37">
        <f t="shared" si="32"/>
        <v>221669.94059989782</v>
      </c>
      <c r="AI104" s="37">
        <f t="shared" si="32"/>
        <v>240820.89762304694</v>
      </c>
      <c r="AJ104" s="344">
        <f t="shared" si="32"/>
        <v>261627.82510772988</v>
      </c>
    </row>
    <row r="105" spans="1:44">
      <c r="A105" s="363"/>
      <c r="B105" s="365" t="s">
        <v>233</v>
      </c>
      <c r="C105" s="365"/>
      <c r="D105" s="365"/>
      <c r="E105" s="343">
        <f>E88</f>
        <v>5192411.1998804212</v>
      </c>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339"/>
    </row>
    <row r="106" spans="1:44" ht="15.75" thickBot="1">
      <c r="A106" s="660" t="s">
        <v>228</v>
      </c>
      <c r="B106" s="661"/>
      <c r="C106" s="661"/>
      <c r="D106" s="661"/>
      <c r="E106" s="347">
        <f>SUM(E103:E105)</f>
        <v>5192411.1998804212</v>
      </c>
      <c r="F106" s="123">
        <f>SUM(F102:F105)</f>
        <v>1394140.0147333958</v>
      </c>
      <c r="G106" s="123">
        <f t="shared" ref="G106:AJ106" si="33">SUM(G102:G105)</f>
        <v>1513532.8878258343</v>
      </c>
      <c r="H106" s="123">
        <f t="shared" si="33"/>
        <v>1643223.2384862187</v>
      </c>
      <c r="I106" s="123">
        <f t="shared" si="33"/>
        <v>1784101.0483753132</v>
      </c>
      <c r="J106" s="123">
        <f t="shared" si="33"/>
        <v>1937133.2638138146</v>
      </c>
      <c r="K106" s="123">
        <f t="shared" si="33"/>
        <v>2103370.4527565981</v>
      </c>
      <c r="L106" s="123">
        <f t="shared" si="33"/>
        <v>2283954.0375835034</v>
      </c>
      <c r="M106" s="123">
        <f t="shared" si="33"/>
        <v>2480124.153514524</v>
      </c>
      <c r="N106" s="123">
        <f t="shared" si="33"/>
        <v>2693228.1867655776</v>
      </c>
      <c r="O106" s="123">
        <f t="shared" si="33"/>
        <v>2924730.0512421504</v>
      </c>
      <c r="P106" s="123">
        <f t="shared" si="33"/>
        <v>3176220.2676539789</v>
      </c>
      <c r="Q106" s="123">
        <f t="shared" si="33"/>
        <v>3449426.9144599163</v>
      </c>
      <c r="R106" s="123">
        <f t="shared" si="33"/>
        <v>3746227.5260559125</v>
      </c>
      <c r="S106" s="123">
        <f t="shared" si="33"/>
        <v>4068662.0201423429</v>
      </c>
      <c r="T106" s="123">
        <f t="shared" si="33"/>
        <v>4418946.7432943163</v>
      </c>
      <c r="U106" s="123">
        <f t="shared" si="33"/>
        <v>4799489.7314591752</v>
      </c>
      <c r="V106" s="123">
        <f>SUM(V102:V105)</f>
        <v>5212907.2904720418</v>
      </c>
      <c r="W106" s="123">
        <f t="shared" si="33"/>
        <v>5662042.0107705621</v>
      </c>
      <c r="X106" s="123">
        <f t="shared" si="33"/>
        <v>6149982.3403667239</v>
      </c>
      <c r="Y106" s="123">
        <f t="shared" si="33"/>
        <v>6680083.8508645659</v>
      </c>
      <c r="Z106" s="123">
        <f t="shared" si="33"/>
        <v>7255992.3429718707</v>
      </c>
      <c r="AA106" s="123">
        <f t="shared" si="33"/>
        <v>7881668.9506216496</v>
      </c>
      <c r="AB106" s="123">
        <f t="shared" si="33"/>
        <v>8561417.416582698</v>
      </c>
      <c r="AC106" s="123">
        <f t="shared" si="33"/>
        <v>9299913.7273926865</v>
      </c>
      <c r="AD106" s="123">
        <f t="shared" si="33"/>
        <v>10102238.311694631</v>
      </c>
      <c r="AE106" s="123">
        <f t="shared" si="33"/>
        <v>10973911.023710752</v>
      </c>
      <c r="AF106" s="123">
        <f t="shared" si="33"/>
        <v>11920929.152767636</v>
      </c>
      <c r="AG106" s="123">
        <f t="shared" si="33"/>
        <v>12949808.720625585</v>
      </c>
      <c r="AH106" s="123">
        <f t="shared" si="33"/>
        <v>14067629.351006832</v>
      </c>
      <c r="AI106" s="123">
        <f t="shared" si="33"/>
        <v>15282083.020317238</v>
      </c>
      <c r="AJ106" s="348">
        <f t="shared" si="33"/>
        <v>16601527.025284197</v>
      </c>
    </row>
    <row r="107" spans="1:44" ht="15.75" thickBot="1">
      <c r="A107" s="662" t="s">
        <v>469</v>
      </c>
      <c r="B107" s="663"/>
      <c r="C107" s="663"/>
      <c r="D107" s="664"/>
      <c r="E107" s="353">
        <f>E100-E106</f>
        <v>-5192411.1998804212</v>
      </c>
      <c r="F107" s="354">
        <f>F100-F106</f>
        <v>793322.96235808427</v>
      </c>
      <c r="G107" s="354">
        <f t="shared" ref="G107:AI107" si="34">G100-G106</f>
        <v>861968.93268405856</v>
      </c>
      <c r="H107" s="354">
        <f t="shared" si="34"/>
        <v>936553.36779527972</v>
      </c>
      <c r="I107" s="354">
        <f t="shared" si="34"/>
        <v>1017589.9596044724</v>
      </c>
      <c r="J107" s="354">
        <f t="shared" si="34"/>
        <v>1105636.8347425335</v>
      </c>
      <c r="K107" s="354">
        <f t="shared" si="34"/>
        <v>1201300.3981708433</v>
      </c>
      <c r="L107" s="354">
        <f t="shared" si="34"/>
        <v>1305239.5092662796</v>
      </c>
      <c r="M107" s="354">
        <f>M100-M106</f>
        <v>1418170.0191378109</v>
      </c>
      <c r="N107" s="354">
        <f t="shared" si="34"/>
        <v>1540869.7004212309</v>
      </c>
      <c r="O107" s="354">
        <f t="shared" si="34"/>
        <v>1674183.6035013655</v>
      </c>
      <c r="P107" s="354">
        <f t="shared" si="34"/>
        <v>1819029.8760477756</v>
      </c>
      <c r="Q107" s="354">
        <f>Q100-Q106</f>
        <v>1976406.0859405375</v>
      </c>
      <c r="R107" s="354">
        <f>R100-R106</f>
        <v>2147396.0911293915</v>
      </c>
      <c r="S107" s="354">
        <f t="shared" si="34"/>
        <v>2333177.5037359539</v>
      </c>
      <c r="T107" s="354">
        <f t="shared" si="34"/>
        <v>2535029.7998010805</v>
      </c>
      <c r="U107" s="354">
        <f t="shared" si="34"/>
        <v>2754343.1305256411</v>
      </c>
      <c r="V107" s="354">
        <f>V100-V106</f>
        <v>2992627.89568392</v>
      </c>
      <c r="W107" s="354">
        <f t="shared" si="34"/>
        <v>3251525.1451375866</v>
      </c>
      <c r="X107" s="354">
        <f t="shared" si="34"/>
        <v>3532817.8800809188</v>
      </c>
      <c r="Y107" s="354">
        <f t="shared" si="34"/>
        <v>3838443.3318440719</v>
      </c>
      <c r="Z107" s="354">
        <f t="shared" si="34"/>
        <v>4170506.3028131425</v>
      </c>
      <c r="AA107" s="354">
        <f t="shared" si="34"/>
        <v>4531293.6613401491</v>
      </c>
      <c r="AB107" s="354">
        <f t="shared" si="34"/>
        <v>4923290.0904630888</v>
      </c>
      <c r="AC107" s="354">
        <f t="shared" si="34"/>
        <v>5349195.1988905855</v>
      </c>
      <c r="AD107" s="354">
        <f t="shared" si="34"/>
        <v>5811942.112087125</v>
      </c>
      <c r="AE107" s="354">
        <f>AE100-AE106</f>
        <v>6314717.6714874748</v>
      </c>
      <c r="AF107" s="354">
        <f t="shared" si="34"/>
        <v>6860984.3809435703</v>
      </c>
      <c r="AG107" s="354">
        <f t="shared" si="34"/>
        <v>7454504.2515394334</v>
      </c>
      <c r="AH107" s="354">
        <f t="shared" si="34"/>
        <v>8099364.7089829482</v>
      </c>
      <c r="AI107" s="354">
        <f t="shared" si="34"/>
        <v>8800006.7419874556</v>
      </c>
      <c r="AJ107" s="355">
        <f>AJ100-AJ106</f>
        <v>9561255.485488791</v>
      </c>
    </row>
    <row r="108" spans="1:44">
      <c r="A108" s="369" t="s">
        <v>229</v>
      </c>
      <c r="B108" s="370"/>
      <c r="C108" s="370"/>
      <c r="D108" s="370"/>
      <c r="E108" s="356">
        <f>E107</f>
        <v>-5192411.1998804212</v>
      </c>
      <c r="F108" s="357">
        <f>F107</f>
        <v>793322.96235808427</v>
      </c>
      <c r="G108" s="357">
        <f t="shared" ref="G108:AJ108" si="35">G107</f>
        <v>861968.93268405856</v>
      </c>
      <c r="H108" s="357">
        <f t="shared" si="35"/>
        <v>936553.36779527972</v>
      </c>
      <c r="I108" s="357">
        <f t="shared" si="35"/>
        <v>1017589.9596044724</v>
      </c>
      <c r="J108" s="357">
        <f t="shared" si="35"/>
        <v>1105636.8347425335</v>
      </c>
      <c r="K108" s="357">
        <f t="shared" si="35"/>
        <v>1201300.3981708433</v>
      </c>
      <c r="L108" s="357">
        <f t="shared" si="35"/>
        <v>1305239.5092662796</v>
      </c>
      <c r="M108" s="357">
        <f t="shared" si="35"/>
        <v>1418170.0191378109</v>
      </c>
      <c r="N108" s="357">
        <f t="shared" si="35"/>
        <v>1540869.7004212309</v>
      </c>
      <c r="O108" s="357">
        <f t="shared" si="35"/>
        <v>1674183.6035013655</v>
      </c>
      <c r="P108" s="357">
        <f t="shared" si="35"/>
        <v>1819029.8760477756</v>
      </c>
      <c r="Q108" s="357">
        <f t="shared" si="35"/>
        <v>1976406.0859405375</v>
      </c>
      <c r="R108" s="357">
        <f t="shared" si="35"/>
        <v>2147396.0911293915</v>
      </c>
      <c r="S108" s="357">
        <f t="shared" si="35"/>
        <v>2333177.5037359539</v>
      </c>
      <c r="T108" s="357">
        <f t="shared" si="35"/>
        <v>2535029.7998010805</v>
      </c>
      <c r="U108" s="357">
        <f t="shared" si="35"/>
        <v>2754343.1305256411</v>
      </c>
      <c r="V108" s="357">
        <f t="shared" si="35"/>
        <v>2992627.89568392</v>
      </c>
      <c r="W108" s="357">
        <f t="shared" si="35"/>
        <v>3251525.1451375866</v>
      </c>
      <c r="X108" s="357">
        <f t="shared" si="35"/>
        <v>3532817.8800809188</v>
      </c>
      <c r="Y108" s="357">
        <f t="shared" si="35"/>
        <v>3838443.3318440719</v>
      </c>
      <c r="Z108" s="357">
        <f t="shared" si="35"/>
        <v>4170506.3028131425</v>
      </c>
      <c r="AA108" s="357">
        <f t="shared" si="35"/>
        <v>4531293.6613401491</v>
      </c>
      <c r="AB108" s="357">
        <f t="shared" si="35"/>
        <v>4923290.0904630888</v>
      </c>
      <c r="AC108" s="357">
        <f t="shared" si="35"/>
        <v>5349195.1988905855</v>
      </c>
      <c r="AD108" s="357">
        <f t="shared" si="35"/>
        <v>5811942.112087125</v>
      </c>
      <c r="AE108" s="357">
        <f t="shared" si="35"/>
        <v>6314717.6714874748</v>
      </c>
      <c r="AF108" s="357">
        <f t="shared" si="35"/>
        <v>6860984.3809435703</v>
      </c>
      <c r="AG108" s="357">
        <f t="shared" si="35"/>
        <v>7454504.2515394334</v>
      </c>
      <c r="AH108" s="357">
        <f t="shared" si="35"/>
        <v>8099364.7089829482</v>
      </c>
      <c r="AI108" s="357">
        <f t="shared" si="35"/>
        <v>8800006.7419874556</v>
      </c>
      <c r="AJ108" s="358">
        <f t="shared" si="35"/>
        <v>9561255.485488791</v>
      </c>
    </row>
    <row r="109" spans="1:44">
      <c r="A109" s="363" t="s">
        <v>230</v>
      </c>
      <c r="B109" s="365"/>
      <c r="C109" s="365"/>
      <c r="D109" s="405">
        <v>0.35</v>
      </c>
      <c r="E109" s="349">
        <f>IF(E108&lt;0,0,E108*$D$27)</f>
        <v>0</v>
      </c>
      <c r="F109" s="37">
        <f>F108*$D$27</f>
        <v>277663.03682532947</v>
      </c>
      <c r="G109" s="37">
        <f t="shared" ref="G109" si="36">G108*$D$27</f>
        <v>301689.12643942045</v>
      </c>
      <c r="H109" s="37">
        <f>H108*$D$27</f>
        <v>327793.67872834788</v>
      </c>
      <c r="I109" s="37">
        <f t="shared" ref="I109:AJ109" si="37">I108*$D$27</f>
        <v>356156.48586156534</v>
      </c>
      <c r="J109" s="37">
        <f t="shared" si="37"/>
        <v>386972.89215988672</v>
      </c>
      <c r="K109" s="37">
        <f t="shared" si="37"/>
        <v>420455.13935979514</v>
      </c>
      <c r="L109" s="37">
        <f t="shared" si="37"/>
        <v>456833.82824319787</v>
      </c>
      <c r="M109" s="37">
        <f t="shared" si="37"/>
        <v>496359.50669823377</v>
      </c>
      <c r="N109" s="37">
        <f t="shared" si="37"/>
        <v>539304.39514743083</v>
      </c>
      <c r="O109" s="37">
        <f t="shared" si="37"/>
        <v>585964.26122547791</v>
      </c>
      <c r="P109" s="37">
        <f t="shared" si="37"/>
        <v>636660.45661672147</v>
      </c>
      <c r="Q109" s="37">
        <f t="shared" si="37"/>
        <v>691742.13007918803</v>
      </c>
      <c r="R109" s="37">
        <f t="shared" si="37"/>
        <v>751588.63189528696</v>
      </c>
      <c r="S109" s="37">
        <f t="shared" si="37"/>
        <v>816612.12630758388</v>
      </c>
      <c r="T109" s="37">
        <f t="shared" si="37"/>
        <v>887260.4299303781</v>
      </c>
      <c r="U109" s="37">
        <f t="shared" si="37"/>
        <v>964020.09568397433</v>
      </c>
      <c r="V109" s="37">
        <f t="shared" si="37"/>
        <v>1047419.763489372</v>
      </c>
      <c r="W109" s="37">
        <f t="shared" si="37"/>
        <v>1138033.8007981551</v>
      </c>
      <c r="X109" s="37">
        <f t="shared" si="37"/>
        <v>1236486.2580283214</v>
      </c>
      <c r="Y109" s="37">
        <f t="shared" si="37"/>
        <v>1343455.1661454251</v>
      </c>
      <c r="Z109" s="37">
        <f t="shared" si="37"/>
        <v>1459677.2059845999</v>
      </c>
      <c r="AA109" s="37">
        <f t="shared" si="37"/>
        <v>1585952.7814690522</v>
      </c>
      <c r="AB109" s="37">
        <f t="shared" si="37"/>
        <v>1723151.5316620809</v>
      </c>
      <c r="AC109" s="37">
        <f t="shared" si="37"/>
        <v>1872218.3196117047</v>
      </c>
      <c r="AD109" s="37">
        <f t="shared" si="37"/>
        <v>2034179.7392304935</v>
      </c>
      <c r="AE109" s="37">
        <f t="shared" si="37"/>
        <v>2210151.1850206158</v>
      </c>
      <c r="AF109" s="37">
        <f t="shared" si="37"/>
        <v>2401344.5333302496</v>
      </c>
      <c r="AG109" s="37">
        <f t="shared" si="37"/>
        <v>2609076.4880388016</v>
      </c>
      <c r="AH109" s="37">
        <f t="shared" si="37"/>
        <v>2834777.6481440319</v>
      </c>
      <c r="AI109" s="37">
        <f t="shared" si="37"/>
        <v>3080002.3596956092</v>
      </c>
      <c r="AJ109" s="344">
        <f t="shared" si="37"/>
        <v>3346439.4199210769</v>
      </c>
    </row>
    <row r="110" spans="1:44" ht="15.75" thickBot="1">
      <c r="A110" s="372" t="s">
        <v>231</v>
      </c>
      <c r="B110" s="367"/>
      <c r="C110" s="367"/>
      <c r="D110" s="367"/>
      <c r="E110" s="34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339"/>
    </row>
    <row r="111" spans="1:44" ht="15.75" thickBot="1">
      <c r="A111" s="653" t="s">
        <v>232</v>
      </c>
      <c r="B111" s="654"/>
      <c r="C111" s="654"/>
      <c r="D111" s="654"/>
      <c r="E111" s="353">
        <f>E107-E109</f>
        <v>-5192411.1998804212</v>
      </c>
      <c r="F111" s="354">
        <f>F107-F109</f>
        <v>515659.9255327548</v>
      </c>
      <c r="G111" s="354">
        <f t="shared" ref="G111:AI111" si="38">G107-G109</f>
        <v>560279.80624463805</v>
      </c>
      <c r="H111" s="354">
        <f t="shared" si="38"/>
        <v>608759.68906693184</v>
      </c>
      <c r="I111" s="354">
        <f t="shared" si="38"/>
        <v>661433.47374290705</v>
      </c>
      <c r="J111" s="354">
        <f t="shared" si="38"/>
        <v>718663.94258264685</v>
      </c>
      <c r="K111" s="354">
        <f t="shared" si="38"/>
        <v>780845.25881104812</v>
      </c>
      <c r="L111" s="354">
        <f t="shared" si="38"/>
        <v>848405.68102308176</v>
      </c>
      <c r="M111" s="354">
        <f t="shared" si="38"/>
        <v>921810.51243957714</v>
      </c>
      <c r="N111" s="354">
        <f t="shared" si="38"/>
        <v>1001565.3052738</v>
      </c>
      <c r="O111" s="354">
        <f t="shared" si="38"/>
        <v>1088219.3422758877</v>
      </c>
      <c r="P111" s="354">
        <f t="shared" si="38"/>
        <v>1182369.419431054</v>
      </c>
      <c r="Q111" s="354">
        <f t="shared" si="38"/>
        <v>1284663.9558613496</v>
      </c>
      <c r="R111" s="354">
        <f t="shared" si="38"/>
        <v>1395807.4592341045</v>
      </c>
      <c r="S111" s="354">
        <f t="shared" si="38"/>
        <v>1516565.3774283701</v>
      </c>
      <c r="T111" s="354">
        <f t="shared" si="38"/>
        <v>1647769.3698707023</v>
      </c>
      <c r="U111" s="354">
        <f t="shared" si="38"/>
        <v>1790323.0348416669</v>
      </c>
      <c r="V111" s="354">
        <f t="shared" si="38"/>
        <v>1945208.1321945479</v>
      </c>
      <c r="W111" s="354">
        <f t="shared" si="38"/>
        <v>2113491.3443394313</v>
      </c>
      <c r="X111" s="354">
        <f t="shared" si="38"/>
        <v>2296331.6220525973</v>
      </c>
      <c r="Y111" s="354">
        <f t="shared" si="38"/>
        <v>2494988.1656986466</v>
      </c>
      <c r="Z111" s="354">
        <f t="shared" si="38"/>
        <v>2710829.0968285426</v>
      </c>
      <c r="AA111" s="354">
        <f t="shared" si="38"/>
        <v>2945340.8798710969</v>
      </c>
      <c r="AB111" s="354">
        <f t="shared" si="38"/>
        <v>3200138.5588010079</v>
      </c>
      <c r="AC111" s="354">
        <f t="shared" si="38"/>
        <v>3476976.8792788805</v>
      </c>
      <c r="AD111" s="354">
        <f t="shared" si="38"/>
        <v>3777762.3728566314</v>
      </c>
      <c r="AE111" s="354">
        <f t="shared" si="38"/>
        <v>4104566.486466859</v>
      </c>
      <c r="AF111" s="354">
        <f t="shared" si="38"/>
        <v>4459639.8476133207</v>
      </c>
      <c r="AG111" s="354">
        <f t="shared" si="38"/>
        <v>4845427.7635006318</v>
      </c>
      <c r="AH111" s="354">
        <f t="shared" si="38"/>
        <v>5264587.0608389163</v>
      </c>
      <c r="AI111" s="354">
        <f t="shared" si="38"/>
        <v>5720004.382291846</v>
      </c>
      <c r="AJ111" s="355">
        <f>AJ107-AJ109</f>
        <v>6214816.0655677142</v>
      </c>
    </row>
    <row r="112" spans="1:44" s="96" customFormat="1" ht="15.75" thickBot="1">
      <c r="A112" s="653" t="s">
        <v>467</v>
      </c>
      <c r="B112" s="654"/>
      <c r="C112" s="654"/>
      <c r="D112" s="654"/>
      <c r="E112" s="350">
        <f>E111</f>
        <v>-5192411.1998804212</v>
      </c>
      <c r="F112" s="351">
        <f>+F111+E111</f>
        <v>-4676751.2743476667</v>
      </c>
      <c r="G112" s="351">
        <f t="shared" ref="G112:AJ112" si="39">G111+F112</f>
        <v>-4116471.4681030288</v>
      </c>
      <c r="H112" s="351">
        <f t="shared" si="39"/>
        <v>-3507711.7790360972</v>
      </c>
      <c r="I112" s="351">
        <f t="shared" si="39"/>
        <v>-2846278.3052931903</v>
      </c>
      <c r="J112" s="351">
        <f t="shared" si="39"/>
        <v>-2127614.3627105434</v>
      </c>
      <c r="K112" s="351">
        <f t="shared" si="39"/>
        <v>-1346769.1038994952</v>
      </c>
      <c r="L112" s="351">
        <f t="shared" si="39"/>
        <v>-498363.42287641345</v>
      </c>
      <c r="M112" s="351">
        <f t="shared" si="39"/>
        <v>423447.0895631637</v>
      </c>
      <c r="N112" s="351">
        <f t="shared" si="39"/>
        <v>1425012.3948369636</v>
      </c>
      <c r="O112" s="351">
        <f t="shared" si="39"/>
        <v>2513231.7371128513</v>
      </c>
      <c r="P112" s="351">
        <f t="shared" si="39"/>
        <v>3695601.1565439054</v>
      </c>
      <c r="Q112" s="351">
        <f t="shared" si="39"/>
        <v>4980265.1124052554</v>
      </c>
      <c r="R112" s="351">
        <f t="shared" si="39"/>
        <v>6376072.5716393599</v>
      </c>
      <c r="S112" s="351">
        <f t="shared" si="39"/>
        <v>7892637.9490677305</v>
      </c>
      <c r="T112" s="351">
        <f t="shared" si="39"/>
        <v>9540407.3189384323</v>
      </c>
      <c r="U112" s="351">
        <f t="shared" si="39"/>
        <v>11330730.353780098</v>
      </c>
      <c r="V112" s="351">
        <f t="shared" si="39"/>
        <v>13275938.485974647</v>
      </c>
      <c r="W112" s="351">
        <f t="shared" si="39"/>
        <v>15389429.830314077</v>
      </c>
      <c r="X112" s="351">
        <f t="shared" si="39"/>
        <v>17685761.452366676</v>
      </c>
      <c r="Y112" s="351">
        <f t="shared" si="39"/>
        <v>20180749.618065324</v>
      </c>
      <c r="Z112" s="351">
        <f t="shared" si="39"/>
        <v>22891578.714893866</v>
      </c>
      <c r="AA112" s="351">
        <f t="shared" si="39"/>
        <v>25836919.594764963</v>
      </c>
      <c r="AB112" s="351">
        <f t="shared" si="39"/>
        <v>29037058.153565969</v>
      </c>
      <c r="AC112" s="351">
        <f t="shared" si="39"/>
        <v>32514035.032844849</v>
      </c>
      <c r="AD112" s="351">
        <f t="shared" si="39"/>
        <v>36291797.405701481</v>
      </c>
      <c r="AE112" s="351">
        <f t="shared" si="39"/>
        <v>40396363.892168343</v>
      </c>
      <c r="AF112" s="351">
        <f t="shared" si="39"/>
        <v>44856003.739781663</v>
      </c>
      <c r="AG112" s="351">
        <f t="shared" si="39"/>
        <v>49701431.503282294</v>
      </c>
      <c r="AH112" s="351">
        <f t="shared" si="39"/>
        <v>54966018.564121209</v>
      </c>
      <c r="AI112" s="351">
        <f t="shared" si="39"/>
        <v>60686022.946413055</v>
      </c>
      <c r="AJ112" s="352">
        <f t="shared" si="39"/>
        <v>66900839.011980772</v>
      </c>
    </row>
    <row r="113" spans="1:36" hidden="1">
      <c r="E113" s="125" t="s">
        <v>237</v>
      </c>
      <c r="F113" s="406">
        <v>0.16</v>
      </c>
      <c r="G113" s="407">
        <f>+NPV(F113,F111:AJ111)+E111</f>
        <v>902360.01162826922</v>
      </c>
      <c r="H113" s="128" t="s">
        <v>392</v>
      </c>
    </row>
    <row r="114" spans="1:36" hidden="1">
      <c r="E114" s="125" t="s">
        <v>238</v>
      </c>
      <c r="F114" s="126"/>
      <c r="G114" s="127">
        <f>+IRR(E111:AJ111)</f>
        <v>0.17765313416876161</v>
      </c>
      <c r="H114" s="128"/>
    </row>
    <row r="115" spans="1:36" ht="15.75" hidden="1" thickBot="1">
      <c r="E115" s="665" t="s">
        <v>239</v>
      </c>
      <c r="F115" s="666"/>
      <c r="G115" s="644" t="str">
        <f>+COUNTIF(F118:Y119,1)&amp;" años y "&amp;ROUND(SUM(F119:Y119),0)&amp;" días"</f>
        <v>7 años y 197 días</v>
      </c>
      <c r="H115" s="645"/>
    </row>
    <row r="116" spans="1:36" hidden="1">
      <c r="E116" s="233"/>
      <c r="F116" s="233"/>
      <c r="G116" s="217"/>
      <c r="H116" s="217"/>
    </row>
    <row r="117" spans="1:36" hidden="1"/>
    <row r="118" spans="1:36" hidden="1">
      <c r="A118" s="234"/>
      <c r="B118" s="235"/>
      <c r="C118" s="234"/>
      <c r="D118" s="234"/>
      <c r="E118" s="234"/>
      <c r="F118" s="234">
        <f t="shared" ref="F118:AJ118" si="40">+IF(F112&lt;0,1,(-365*E112/F111))</f>
        <v>1</v>
      </c>
      <c r="G118" s="234">
        <f t="shared" si="40"/>
        <v>1</v>
      </c>
      <c r="H118" s="234">
        <f t="shared" si="40"/>
        <v>1</v>
      </c>
      <c r="I118" s="234">
        <f t="shared" si="40"/>
        <v>1</v>
      </c>
      <c r="J118" s="234">
        <f t="shared" si="40"/>
        <v>1</v>
      </c>
      <c r="K118" s="234">
        <f t="shared" si="40"/>
        <v>1</v>
      </c>
      <c r="L118" s="234">
        <f t="shared" si="40"/>
        <v>1</v>
      </c>
      <c r="M118" s="234">
        <f t="shared" si="40"/>
        <v>197.33193199162423</v>
      </c>
      <c r="N118" s="234">
        <f t="shared" si="40"/>
        <v>-154.3166350478792</v>
      </c>
      <c r="O118" s="234">
        <f t="shared" si="40"/>
        <v>-477.96386620706414</v>
      </c>
      <c r="P118" s="234">
        <f t="shared" si="40"/>
        <v>-775.84007922634009</v>
      </c>
      <c r="Q118" s="234">
        <f t="shared" si="40"/>
        <v>-1049.9978737506574</v>
      </c>
      <c r="R118" s="234">
        <f t="shared" si="40"/>
        <v>-1302.326301526834</v>
      </c>
      <c r="S118" s="234">
        <f t="shared" si="40"/>
        <v>-1534.5639055763602</v>
      </c>
      <c r="T118" s="234">
        <f t="shared" si="40"/>
        <v>-1748.3107187723574</v>
      </c>
      <c r="U118" s="234">
        <f t="shared" si="40"/>
        <v>-1945.0393049992185</v>
      </c>
      <c r="V118" s="234">
        <f t="shared" si="40"/>
        <v>-2126.1049194072084</v>
      </c>
      <c r="W118" s="234">
        <f t="shared" si="40"/>
        <v>-2292.7548581445781</v>
      </c>
      <c r="X118" s="234">
        <f t="shared" si="40"/>
        <v>-2446.1370623131966</v>
      </c>
      <c r="Y118" s="234">
        <f t="shared" si="40"/>
        <v>-2587.3080357101508</v>
      </c>
      <c r="Z118" s="234">
        <f t="shared" si="40"/>
        <v>-2717.2401311508183</v>
      </c>
      <c r="AA118" s="234">
        <f t="shared" si="40"/>
        <v>-2836.8282557847556</v>
      </c>
      <c r="AB118" s="234">
        <f t="shared" si="40"/>
        <v>-2946.8960417834269</v>
      </c>
      <c r="AC118" s="234">
        <f t="shared" si="40"/>
        <v>-3048.2015250701625</v>
      </c>
      <c r="AD118" s="234">
        <f t="shared" si="40"/>
        <v>-3141.4423713512783</v>
      </c>
      <c r="AE118" s="234">
        <f t="shared" si="40"/>
        <v>-3227.2606855696004</v>
      </c>
      <c r="AF118" s="234">
        <f t="shared" si="40"/>
        <v>-3306.247438015067</v>
      </c>
      <c r="AG118" s="234">
        <f t="shared" si="40"/>
        <v>-3378.9465376720136</v>
      </c>
      <c r="AH118" s="234">
        <f t="shared" si="40"/>
        <v>-3445.858580940107</v>
      </c>
      <c r="AI118" s="234">
        <f t="shared" si="40"/>
        <v>-3507.4443016188247</v>
      </c>
      <c r="AJ118" s="234">
        <f t="shared" si="40"/>
        <v>-3564.1277459781682</v>
      </c>
    </row>
    <row r="119" spans="1:36" ht="15.75" hidden="1" thickBot="1">
      <c r="A119" s="236"/>
      <c r="B119" s="237"/>
      <c r="C119" s="236"/>
      <c r="D119" s="236"/>
      <c r="E119" s="236"/>
      <c r="F119" s="236">
        <f>+IF(F118&gt;0,IF(F118&lt;&gt;1,F118,0),0)</f>
        <v>0</v>
      </c>
      <c r="G119" s="236">
        <f t="shared" ref="G119:N119" si="41">+IF(G118&gt;0,IF(G118&lt;&gt;1,G118,0),0)</f>
        <v>0</v>
      </c>
      <c r="H119" s="236">
        <f t="shared" si="41"/>
        <v>0</v>
      </c>
      <c r="I119" s="236">
        <f t="shared" si="41"/>
        <v>0</v>
      </c>
      <c r="J119" s="236">
        <f t="shared" si="41"/>
        <v>0</v>
      </c>
      <c r="K119" s="236">
        <f t="shared" si="41"/>
        <v>0</v>
      </c>
      <c r="L119" s="236">
        <f t="shared" si="41"/>
        <v>0</v>
      </c>
      <c r="M119" s="236">
        <f t="shared" si="41"/>
        <v>197.33193199162423</v>
      </c>
      <c r="N119" s="236">
        <f t="shared" si="41"/>
        <v>0</v>
      </c>
      <c r="O119" s="236">
        <f>+IF(O118&gt;0,IF(O118&lt;&gt;1,O118,0),0)</f>
        <v>0</v>
      </c>
      <c r="P119" s="236">
        <f>+IF(P118&gt;0,IF(P118&gt;1,P118,0),0)</f>
        <v>0</v>
      </c>
      <c r="Q119" s="236">
        <f t="shared" ref="Q119:AJ119" si="42">+IF(Q118&gt;0,IF(Q118&lt;&gt;1,Q118,0),0)</f>
        <v>0</v>
      </c>
      <c r="R119" s="236">
        <f t="shared" si="42"/>
        <v>0</v>
      </c>
      <c r="S119" s="236">
        <f t="shared" si="42"/>
        <v>0</v>
      </c>
      <c r="T119" s="236">
        <f t="shared" si="42"/>
        <v>0</v>
      </c>
      <c r="U119" s="236">
        <f t="shared" si="42"/>
        <v>0</v>
      </c>
      <c r="V119" s="236">
        <f t="shared" si="42"/>
        <v>0</v>
      </c>
      <c r="W119" s="236">
        <f t="shared" si="42"/>
        <v>0</v>
      </c>
      <c r="X119" s="236">
        <f t="shared" si="42"/>
        <v>0</v>
      </c>
      <c r="Y119" s="236">
        <f t="shared" si="42"/>
        <v>0</v>
      </c>
      <c r="Z119" s="236">
        <f t="shared" si="42"/>
        <v>0</v>
      </c>
      <c r="AA119" s="236">
        <f t="shared" si="42"/>
        <v>0</v>
      </c>
      <c r="AB119" s="236">
        <f t="shared" si="42"/>
        <v>0</v>
      </c>
      <c r="AC119" s="236">
        <f t="shared" si="42"/>
        <v>0</v>
      </c>
      <c r="AD119" s="236">
        <f t="shared" si="42"/>
        <v>0</v>
      </c>
      <c r="AE119" s="236">
        <f t="shared" si="42"/>
        <v>0</v>
      </c>
      <c r="AF119" s="236">
        <f t="shared" si="42"/>
        <v>0</v>
      </c>
      <c r="AG119" s="236">
        <f t="shared" si="42"/>
        <v>0</v>
      </c>
      <c r="AH119" s="236">
        <f t="shared" si="42"/>
        <v>0</v>
      </c>
      <c r="AI119" s="236">
        <f t="shared" si="42"/>
        <v>0</v>
      </c>
      <c r="AJ119" s="236">
        <f t="shared" si="42"/>
        <v>0</v>
      </c>
    </row>
    <row r="120" spans="1:36" hidden="1">
      <c r="A120" s="238"/>
      <c r="B120" s="239"/>
      <c r="C120" s="238"/>
      <c r="D120" s="238"/>
      <c r="E120" s="240"/>
      <c r="F120" s="238"/>
      <c r="G120" s="238"/>
      <c r="H120" s="238"/>
      <c r="I120" s="238"/>
      <c r="J120" s="238"/>
      <c r="K120" s="238"/>
      <c r="L120" s="238"/>
      <c r="M120" s="238"/>
      <c r="N120" s="238"/>
      <c r="O120" s="238"/>
      <c r="P120" s="238"/>
      <c r="Q120" s="238"/>
      <c r="R120" s="238"/>
      <c r="S120" s="238"/>
      <c r="T120" s="238"/>
      <c r="U120" s="238"/>
      <c r="V120" s="238"/>
      <c r="W120" s="238"/>
      <c r="X120" s="238"/>
      <c r="Y120" s="238"/>
      <c r="Z120" s="238"/>
    </row>
    <row r="121" spans="1:36" hidden="1">
      <c r="A121" s="238"/>
      <c r="B121" s="239"/>
      <c r="C121" s="238"/>
      <c r="D121" s="238"/>
      <c r="E121" s="241"/>
      <c r="F121" s="238"/>
      <c r="G121" s="238"/>
      <c r="H121" s="238"/>
      <c r="I121" s="238"/>
      <c r="J121" s="238"/>
      <c r="K121" s="238"/>
      <c r="L121" s="238"/>
      <c r="M121" s="238"/>
      <c r="N121" s="238"/>
      <c r="O121" s="238"/>
      <c r="P121" s="238"/>
      <c r="Q121" s="238"/>
      <c r="R121" s="238"/>
      <c r="S121" s="238"/>
      <c r="T121" s="238"/>
      <c r="U121" s="238"/>
      <c r="V121" s="238"/>
      <c r="W121" s="238"/>
      <c r="X121" s="238"/>
      <c r="Y121" s="238"/>
      <c r="Z121" s="238"/>
    </row>
    <row r="122" spans="1:36" hidden="1">
      <c r="A122" s="238"/>
      <c r="B122" s="239" t="s">
        <v>411</v>
      </c>
      <c r="C122" s="238"/>
      <c r="D122" s="238"/>
      <c r="E122" s="238"/>
      <c r="F122" s="238"/>
      <c r="G122" s="238"/>
      <c r="H122" s="238"/>
      <c r="I122" s="238"/>
      <c r="J122" s="238"/>
      <c r="K122" s="238"/>
      <c r="L122" s="238"/>
      <c r="M122" s="238"/>
      <c r="N122" s="238"/>
      <c r="O122" s="238"/>
      <c r="P122" s="238"/>
      <c r="Q122" s="238"/>
      <c r="R122" s="238"/>
      <c r="S122" s="238"/>
      <c r="T122" s="238"/>
      <c r="U122" s="238"/>
      <c r="V122" s="238"/>
      <c r="W122" s="238"/>
      <c r="X122" s="238"/>
      <c r="Y122" s="238"/>
      <c r="Z122" s="238"/>
    </row>
    <row r="123" spans="1:36" ht="15.75" hidden="1" thickBot="1">
      <c r="A123" s="242"/>
      <c r="B123" s="243" t="s">
        <v>412</v>
      </c>
      <c r="C123" s="244"/>
      <c r="D123" s="244"/>
      <c r="E123" s="124">
        <f>+E111/(1+$F$31)^E97</f>
        <v>-5192411.1998804212</v>
      </c>
      <c r="F123" s="124">
        <f>+F111/(1+$F$31)^F97</f>
        <v>444534.41856271971</v>
      </c>
      <c r="G123" s="124">
        <f t="shared" ref="G123:S123" si="43">+G111/(1+$F$31)^G97</f>
        <v>416379.16635303071</v>
      </c>
      <c r="H123" s="124">
        <f t="shared" si="43"/>
        <v>390006.56614337658</v>
      </c>
      <c r="I123" s="124">
        <f t="shared" si="43"/>
        <v>365303.8193883663</v>
      </c>
      <c r="J123" s="124">
        <f t="shared" si="43"/>
        <v>342165.25677248318</v>
      </c>
      <c r="K123" s="124">
        <f t="shared" si="43"/>
        <v>320491.88857276848</v>
      </c>
      <c r="L123" s="124">
        <f t="shared" si="43"/>
        <v>300190.983268757</v>
      </c>
      <c r="M123" s="124">
        <f t="shared" si="43"/>
        <v>281175.67263809906</v>
      </c>
      <c r="N123" s="124">
        <f t="shared" si="43"/>
        <v>263364.58168464602</v>
      </c>
      <c r="O123" s="124">
        <f t="shared" si="43"/>
        <v>246681.48184760977</v>
      </c>
      <c r="P123" s="124">
        <f t="shared" si="43"/>
        <v>231054.96603615306</v>
      </c>
      <c r="Q123" s="124">
        <f t="shared" si="43"/>
        <v>216418.14412371983</v>
      </c>
      <c r="R123" s="124">
        <f t="shared" si="43"/>
        <v>202708.35762095332</v>
      </c>
      <c r="S123" s="124">
        <f t="shared" si="43"/>
        <v>189866.91232544847</v>
      </c>
      <c r="T123" s="124">
        <f>+T111/(1+$F$31)^T97</f>
        <v>177838.82782117196</v>
      </c>
      <c r="U123" s="124">
        <f t="shared" ref="U123:AJ123" si="44">+U111/(1+$F$31)^U97</f>
        <v>166572.60277041449</v>
      </c>
      <c r="V123" s="124">
        <f t="shared" si="44"/>
        <v>156019.99500690473</v>
      </c>
      <c r="W123" s="124">
        <f t="shared" si="44"/>
        <v>146135.81550044994</v>
      </c>
      <c r="X123" s="124">
        <f t="shared" si="44"/>
        <v>136877.73532141419</v>
      </c>
      <c r="Y123" s="124">
        <f t="shared" si="44"/>
        <v>128206.10478773985</v>
      </c>
      <c r="Z123" s="124">
        <f t="shared" si="44"/>
        <v>120083.78402825382</v>
      </c>
      <c r="AA123" s="124">
        <f t="shared" si="44"/>
        <v>112475.98424389625</v>
      </c>
      <c r="AB123" s="124">
        <f t="shared" si="44"/>
        <v>105350.11899344514</v>
      </c>
      <c r="AC123" s="124">
        <f t="shared" si="44"/>
        <v>98675.664872463385</v>
      </c>
      <c r="AD123" s="124">
        <f t="shared" si="44"/>
        <v>92424.030993744032</v>
      </c>
      <c r="AE123" s="124">
        <f t="shared" si="44"/>
        <v>86568.43671461592</v>
      </c>
      <c r="AF123" s="124">
        <f t="shared" si="44"/>
        <v>81083.797091265456</v>
      </c>
      <c r="AG123" s="124">
        <f t="shared" si="44"/>
        <v>75946.615572851719</v>
      </c>
      <c r="AH123" s="124">
        <f t="shared" si="44"/>
        <v>71134.883478788077</v>
      </c>
      <c r="AI123" s="124">
        <f t="shared" si="44"/>
        <v>66627.985831252794</v>
      </c>
      <c r="AJ123" s="124">
        <f t="shared" si="44"/>
        <v>62406.613141888316</v>
      </c>
    </row>
    <row r="124" spans="1:36" ht="15.75" hidden="1" thickBot="1">
      <c r="A124" s="236"/>
      <c r="B124" s="237"/>
      <c r="C124" s="236"/>
      <c r="D124" s="236"/>
      <c r="E124" s="236"/>
      <c r="F124" s="236"/>
      <c r="G124" s="236"/>
      <c r="H124" s="236"/>
      <c r="I124" s="236"/>
      <c r="J124" s="236"/>
      <c r="K124" s="236"/>
      <c r="L124" s="236"/>
      <c r="M124" s="236"/>
      <c r="N124" s="236"/>
      <c r="O124" s="236"/>
      <c r="P124" s="236"/>
      <c r="Q124" s="236"/>
      <c r="R124" s="236"/>
      <c r="S124" s="236"/>
      <c r="T124" s="236"/>
      <c r="U124" s="236"/>
      <c r="V124" s="236"/>
      <c r="W124" s="236"/>
      <c r="X124" s="236"/>
      <c r="Y124" s="236"/>
      <c r="Z124" s="236"/>
    </row>
    <row r="125" spans="1:36" s="14" customFormat="1">
      <c r="A125" s="218"/>
      <c r="B125" s="218"/>
      <c r="C125" s="218"/>
      <c r="D125" s="218"/>
      <c r="E125" s="218"/>
      <c r="F125" s="218"/>
      <c r="G125" s="218"/>
      <c r="H125" s="218"/>
      <c r="I125" s="218"/>
      <c r="J125" s="218"/>
      <c r="K125" s="218"/>
      <c r="L125" s="218"/>
      <c r="M125" s="218"/>
      <c r="N125" s="218"/>
      <c r="O125" s="218"/>
      <c r="P125" s="218"/>
      <c r="Q125" s="218"/>
      <c r="R125" s="218"/>
      <c r="S125" s="218"/>
      <c r="T125" s="218"/>
      <c r="U125" s="218"/>
      <c r="V125" s="218"/>
      <c r="W125" s="218"/>
      <c r="X125" s="218"/>
      <c r="Y125" s="218"/>
      <c r="Z125" s="218"/>
    </row>
    <row r="126" spans="1:36" s="14" customFormat="1">
      <c r="A126" s="218"/>
      <c r="B126" s="218"/>
      <c r="C126" s="218"/>
      <c r="D126" s="218"/>
      <c r="E126" s="218"/>
      <c r="F126" s="218"/>
      <c r="G126" s="218"/>
      <c r="H126" s="218"/>
      <c r="I126" s="218"/>
      <c r="J126" s="218"/>
      <c r="K126" s="218"/>
      <c r="L126" s="218"/>
      <c r="M126" s="218"/>
      <c r="N126" s="218"/>
      <c r="O126" s="218"/>
      <c r="P126" s="218"/>
      <c r="Q126" s="218"/>
      <c r="R126" s="218"/>
      <c r="S126" s="218"/>
      <c r="T126" s="218"/>
      <c r="U126" s="218"/>
      <c r="V126" s="218"/>
      <c r="W126" s="218"/>
      <c r="X126" s="218"/>
      <c r="Y126" s="218"/>
      <c r="Z126" s="218"/>
    </row>
    <row r="127" spans="1:36" s="14" customFormat="1">
      <c r="A127" s="218"/>
      <c r="B127" s="218"/>
      <c r="C127" s="218"/>
      <c r="D127" s="218"/>
      <c r="E127" s="218"/>
      <c r="F127" s="218"/>
      <c r="G127" s="218"/>
      <c r="H127" s="218"/>
      <c r="I127" s="218"/>
      <c r="J127" s="218"/>
      <c r="K127" s="218"/>
      <c r="L127" s="218"/>
      <c r="M127" s="218"/>
      <c r="N127" s="218"/>
      <c r="O127" s="218"/>
      <c r="P127" s="218"/>
      <c r="Q127" s="218"/>
      <c r="R127" s="218"/>
      <c r="S127" s="218"/>
      <c r="T127" s="218"/>
      <c r="U127" s="218"/>
      <c r="V127" s="218"/>
      <c r="W127" s="218"/>
      <c r="X127" s="218"/>
      <c r="Y127" s="218"/>
      <c r="Z127" s="218"/>
    </row>
    <row r="128" spans="1:36" s="14" customFormat="1" ht="18.75">
      <c r="A128" s="313" t="s">
        <v>218</v>
      </c>
      <c r="H128" s="642" t="s">
        <v>458</v>
      </c>
      <c r="I128" s="642"/>
      <c r="J128" s="642"/>
      <c r="K128" s="642"/>
    </row>
    <row r="129" spans="1:36" ht="15.75">
      <c r="A129" s="245" t="s">
        <v>413</v>
      </c>
      <c r="B129" s="219"/>
      <c r="C129" s="219"/>
      <c r="D129" s="246"/>
      <c r="E129" s="246"/>
      <c r="F129" s="246"/>
      <c r="G129" s="246"/>
      <c r="H129" s="246"/>
      <c r="I129" s="246"/>
      <c r="J129" s="246"/>
      <c r="K129" s="246"/>
      <c r="L129" s="246"/>
      <c r="M129" s="246"/>
      <c r="N129" s="246"/>
      <c r="O129" s="246"/>
      <c r="P129" s="246"/>
      <c r="Q129" s="246"/>
      <c r="R129" s="246"/>
      <c r="S129" s="246"/>
      <c r="T129" s="14"/>
      <c r="U129" s="14"/>
      <c r="V129" s="14"/>
    </row>
    <row r="130" spans="1:36">
      <c r="A130" s="218"/>
      <c r="B130" s="218"/>
      <c r="C130" s="218"/>
      <c r="D130" s="221"/>
      <c r="E130" s="221"/>
      <c r="F130" s="221"/>
      <c r="G130" s="221"/>
      <c r="H130" s="221"/>
      <c r="I130" s="221"/>
      <c r="J130" s="221"/>
      <c r="K130" s="221"/>
      <c r="L130" s="221"/>
      <c r="M130" s="221"/>
      <c r="N130" s="221"/>
      <c r="O130" s="221"/>
      <c r="P130" s="221"/>
      <c r="Q130" s="221"/>
      <c r="R130" s="221"/>
      <c r="S130" s="221"/>
      <c r="T130" s="14"/>
      <c r="U130" s="14"/>
      <c r="V130" s="14"/>
    </row>
    <row r="131" spans="1:36">
      <c r="A131" s="219" t="s">
        <v>394</v>
      </c>
      <c r="B131" s="218"/>
      <c r="C131" s="218"/>
      <c r="D131" s="220"/>
      <c r="E131" s="221"/>
      <c r="F131" s="220"/>
      <c r="G131" s="221"/>
      <c r="H131" s="221"/>
      <c r="I131" s="222"/>
      <c r="K131" s="314"/>
      <c r="L131" s="314"/>
      <c r="M131" s="314"/>
      <c r="N131" s="314"/>
      <c r="O131" s="314"/>
      <c r="T131" s="14"/>
      <c r="U131" s="14"/>
      <c r="V131" s="14"/>
    </row>
    <row r="132" spans="1:36">
      <c r="A132" s="218"/>
      <c r="B132" s="218" t="s">
        <v>240</v>
      </c>
      <c r="C132" s="224" t="s">
        <v>392</v>
      </c>
      <c r="D132" s="225">
        <f>'PRESTAMO BANCARIO'!F21</f>
        <v>4153928.9599043373</v>
      </c>
      <c r="E132" s="218"/>
      <c r="F132" s="224" t="s">
        <v>395</v>
      </c>
      <c r="G132" s="224" t="s">
        <v>392</v>
      </c>
      <c r="H132" s="226">
        <f>'PRESTAMO BANCARIO'!E18*(20%)</f>
        <v>1038482.2399760843</v>
      </c>
      <c r="I132" s="222"/>
      <c r="J132" s="227"/>
      <c r="K132" s="221"/>
      <c r="L132" s="221"/>
      <c r="M132" s="221"/>
      <c r="N132" s="221"/>
      <c r="O132" s="221"/>
      <c r="P132" s="221"/>
      <c r="Q132" s="221"/>
      <c r="R132" s="221"/>
      <c r="S132" s="221"/>
      <c r="T132" s="14"/>
      <c r="U132" s="14"/>
      <c r="V132" s="14"/>
    </row>
    <row r="133" spans="1:36">
      <c r="A133" s="218"/>
      <c r="B133" s="218" t="s">
        <v>396</v>
      </c>
      <c r="C133" s="218"/>
      <c r="D133" s="225" t="s">
        <v>397</v>
      </c>
      <c r="E133" s="218"/>
      <c r="F133" s="228"/>
      <c r="G133" s="221"/>
      <c r="H133" s="221"/>
      <c r="I133" s="222"/>
      <c r="J133" s="227"/>
      <c r="K133" s="221"/>
      <c r="L133" s="221"/>
      <c r="M133" s="221"/>
      <c r="N133" s="221"/>
      <c r="O133" s="221"/>
      <c r="P133" s="221"/>
      <c r="Q133" s="221"/>
      <c r="R133" s="221"/>
      <c r="S133" s="221"/>
      <c r="T133" s="14"/>
      <c r="U133" s="14"/>
      <c r="V133" s="14"/>
    </row>
    <row r="134" spans="1:36" ht="18.75">
      <c r="A134" s="218"/>
      <c r="B134" s="218" t="s">
        <v>398</v>
      </c>
      <c r="C134" s="218"/>
      <c r="D134" s="229">
        <v>0.16</v>
      </c>
      <c r="E134" s="218"/>
      <c r="F134" s="228"/>
      <c r="G134" s="221"/>
      <c r="H134" s="221"/>
      <c r="I134" s="222"/>
      <c r="J134" s="227"/>
      <c r="K134" s="221"/>
      <c r="L134" s="221"/>
      <c r="M134" s="221"/>
      <c r="N134" s="313"/>
      <c r="O134" s="14"/>
      <c r="P134" s="14"/>
      <c r="Q134" s="14"/>
      <c r="R134" s="14"/>
      <c r="S134" s="14"/>
      <c r="T134" s="14"/>
      <c r="U134" s="642"/>
      <c r="V134" s="642"/>
      <c r="W134" s="642"/>
      <c r="X134" s="642"/>
      <c r="Y134" s="313"/>
      <c r="Z134" s="14"/>
      <c r="AA134" s="14"/>
      <c r="AB134" s="14"/>
      <c r="AC134" s="14"/>
      <c r="AD134" s="14"/>
      <c r="AE134" s="14"/>
      <c r="AF134" s="642"/>
      <c r="AG134" s="642"/>
      <c r="AH134" s="642"/>
      <c r="AI134" s="642"/>
    </row>
    <row r="135" spans="1:36" ht="15.75">
      <c r="A135" s="218"/>
      <c r="B135" s="218" t="s">
        <v>399</v>
      </c>
      <c r="C135" s="218"/>
      <c r="D135" s="230">
        <v>2</v>
      </c>
      <c r="E135" s="218"/>
      <c r="F135" s="221"/>
      <c r="G135" s="221"/>
      <c r="H135" s="221"/>
      <c r="I135" s="218"/>
      <c r="J135" s="218"/>
      <c r="K135" s="221"/>
      <c r="L135" s="221"/>
      <c r="M135" s="221"/>
      <c r="N135" s="245"/>
      <c r="O135" s="219"/>
      <c r="P135" s="219"/>
      <c r="Q135" s="246"/>
      <c r="R135" s="246"/>
      <c r="S135" s="246"/>
      <c r="T135" s="246"/>
      <c r="U135" s="246"/>
      <c r="V135" s="246"/>
      <c r="W135" s="246"/>
      <c r="X135" s="246"/>
      <c r="Y135" s="245"/>
      <c r="Z135" s="219"/>
      <c r="AA135" s="219"/>
      <c r="AB135" s="246"/>
      <c r="AC135" s="246"/>
      <c r="AD135" s="246"/>
      <c r="AE135" s="246"/>
      <c r="AF135" s="246"/>
      <c r="AG135" s="246"/>
      <c r="AH135" s="246"/>
      <c r="AI135" s="246"/>
    </row>
    <row r="136" spans="1:36" ht="15.75" thickBot="1">
      <c r="A136" s="218"/>
      <c r="B136" s="218"/>
      <c r="C136" s="218"/>
      <c r="D136" s="230"/>
      <c r="E136" s="218"/>
      <c r="F136" s="221"/>
      <c r="G136" s="221"/>
      <c r="H136" s="221"/>
      <c r="I136" s="218"/>
      <c r="J136" s="218"/>
      <c r="K136" s="221"/>
      <c r="L136" s="221"/>
      <c r="M136" s="221"/>
      <c r="N136" s="221"/>
      <c r="O136" s="221"/>
      <c r="P136" s="221"/>
      <c r="Q136" s="221"/>
      <c r="R136" s="221"/>
      <c r="S136" s="221"/>
      <c r="T136" s="14"/>
      <c r="U136" s="14"/>
      <c r="V136" s="14"/>
    </row>
    <row r="137" spans="1:36" ht="15.75" thickBot="1">
      <c r="A137" s="646" t="s">
        <v>79</v>
      </c>
      <c r="B137" s="647"/>
      <c r="C137" s="647"/>
      <c r="D137" s="676"/>
      <c r="E137" s="440">
        <v>0</v>
      </c>
      <c r="F137" s="440">
        <v>1</v>
      </c>
      <c r="G137" s="440">
        <v>2</v>
      </c>
      <c r="H137" s="440">
        <v>3</v>
      </c>
      <c r="I137" s="440">
        <v>4</v>
      </c>
      <c r="J137" s="440">
        <v>5</v>
      </c>
      <c r="K137" s="440">
        <v>6</v>
      </c>
      <c r="L137" s="440">
        <v>7</v>
      </c>
      <c r="M137" s="440">
        <v>8</v>
      </c>
      <c r="N137" s="440">
        <v>9</v>
      </c>
      <c r="O137" s="440">
        <v>10</v>
      </c>
      <c r="P137" s="440">
        <v>11</v>
      </c>
      <c r="Q137" s="440">
        <v>12</v>
      </c>
      <c r="R137" s="440">
        <v>13</v>
      </c>
      <c r="S137" s="440">
        <v>14</v>
      </c>
      <c r="T137" s="440">
        <v>15</v>
      </c>
      <c r="U137" s="440">
        <v>16</v>
      </c>
      <c r="V137" s="440">
        <v>17</v>
      </c>
      <c r="W137" s="440">
        <v>18</v>
      </c>
      <c r="X137" s="440">
        <v>19</v>
      </c>
      <c r="Y137" s="440">
        <v>20</v>
      </c>
      <c r="Z137" s="440">
        <v>21</v>
      </c>
      <c r="AA137" s="440">
        <v>22</v>
      </c>
      <c r="AB137" s="440">
        <v>23</v>
      </c>
      <c r="AC137" s="440">
        <v>24</v>
      </c>
      <c r="AD137" s="440">
        <v>25</v>
      </c>
      <c r="AE137" s="440">
        <v>26</v>
      </c>
      <c r="AF137" s="440">
        <v>27</v>
      </c>
      <c r="AG137" s="440">
        <v>28</v>
      </c>
      <c r="AH137" s="440">
        <v>29</v>
      </c>
      <c r="AI137" s="440">
        <v>30</v>
      </c>
      <c r="AJ137" s="441">
        <v>31</v>
      </c>
    </row>
    <row r="138" spans="1:36">
      <c r="A138" s="374"/>
      <c r="B138" s="375" t="s">
        <v>400</v>
      </c>
      <c r="C138" s="375"/>
      <c r="D138" s="365"/>
      <c r="E138" s="391">
        <f>D132</f>
        <v>4153928.9599043373</v>
      </c>
      <c r="F138" s="248"/>
      <c r="G138" s="248"/>
      <c r="H138" s="248"/>
      <c r="I138" s="248"/>
      <c r="J138" s="248"/>
      <c r="K138" s="248"/>
      <c r="L138" s="248"/>
      <c r="M138" s="248"/>
      <c r="N138" s="248"/>
      <c r="O138" s="248"/>
      <c r="P138" s="248"/>
      <c r="Q138" s="248"/>
      <c r="R138" s="248"/>
      <c r="S138" s="248"/>
      <c r="T138" s="268"/>
      <c r="U138" s="268"/>
      <c r="V138" s="268"/>
      <c r="W138" s="268"/>
      <c r="X138" s="268"/>
      <c r="Y138" s="268"/>
      <c r="Z138" s="268"/>
      <c r="AA138" s="268"/>
      <c r="AB138" s="268"/>
      <c r="AC138" s="268"/>
      <c r="AD138" s="268"/>
      <c r="AE138" s="268"/>
      <c r="AF138" s="268"/>
      <c r="AG138" s="268"/>
      <c r="AH138" s="268"/>
      <c r="AI138" s="268"/>
      <c r="AJ138" s="322"/>
    </row>
    <row r="139" spans="1:36">
      <c r="A139" s="374"/>
      <c r="B139" s="375" t="s">
        <v>401</v>
      </c>
      <c r="C139" s="375"/>
      <c r="D139" s="365"/>
      <c r="E139" s="392">
        <v>0</v>
      </c>
      <c r="F139" s="226">
        <f>'PRESTAMO BANCARIO'!E28</f>
        <v>0</v>
      </c>
      <c r="G139" s="226">
        <f>'PRESTAMO BANCARIO'!F28</f>
        <v>0</v>
      </c>
      <c r="H139" s="226">
        <f>'PRESTAMO BANCARIO'!G28</f>
        <v>415392.89599043375</v>
      </c>
      <c r="I139" s="226">
        <f>'PRESTAMO BANCARIO'!H28</f>
        <v>415392.89599043375</v>
      </c>
      <c r="J139" s="226">
        <f>'PRESTAMO BANCARIO'!I28</f>
        <v>415392.89599043375</v>
      </c>
      <c r="K139" s="226">
        <f>'PRESTAMO BANCARIO'!J28</f>
        <v>415392.89599043375</v>
      </c>
      <c r="L139" s="226">
        <f>'PRESTAMO BANCARIO'!K28</f>
        <v>415392.89599043375</v>
      </c>
      <c r="M139" s="226">
        <f>'PRESTAMO BANCARIO'!L28</f>
        <v>415392.89599043375</v>
      </c>
      <c r="N139" s="226">
        <f>'PRESTAMO BANCARIO'!M28</f>
        <v>415392.89599043375</v>
      </c>
      <c r="O139" s="226">
        <f>'PRESTAMO BANCARIO'!N28</f>
        <v>415392.89599043375</v>
      </c>
      <c r="P139" s="226">
        <f>'PRESTAMO BANCARIO'!O28</f>
        <v>415392.89599043375</v>
      </c>
      <c r="Q139" s="226">
        <f>'PRESTAMO BANCARIO'!P28</f>
        <v>415392.89599043375</v>
      </c>
      <c r="R139" s="226">
        <f>'PRESTAMO BANCARIO'!Q28</f>
        <v>0</v>
      </c>
      <c r="S139" s="226">
        <f>'PRESTAMO BANCARIO'!R28</f>
        <v>0</v>
      </c>
      <c r="T139" s="226">
        <f>'PRESTAMO BANCARIO'!S28</f>
        <v>0</v>
      </c>
      <c r="U139" s="226">
        <f>'PRESTAMO BANCARIO'!T28</f>
        <v>0</v>
      </c>
      <c r="V139" s="226">
        <f>'PRESTAMO BANCARIO'!U28</f>
        <v>0</v>
      </c>
      <c r="W139" s="226">
        <f>'PRESTAMO BANCARIO'!V28</f>
        <v>0</v>
      </c>
      <c r="X139" s="226">
        <f>'PRESTAMO BANCARIO'!W28</f>
        <v>0</v>
      </c>
      <c r="Y139" s="226">
        <f>'PRESTAMO BANCARIO'!X28</f>
        <v>0</v>
      </c>
      <c r="Z139" s="226">
        <f>'PRESTAMO BANCARIO'!Y28</f>
        <v>0</v>
      </c>
      <c r="AA139" s="226">
        <f>'PRESTAMO BANCARIO'!Z28</f>
        <v>0</v>
      </c>
      <c r="AB139" s="226">
        <f>'PRESTAMO BANCARIO'!AA28</f>
        <v>0</v>
      </c>
      <c r="AC139" s="226">
        <f>'PRESTAMO BANCARIO'!AB28</f>
        <v>0</v>
      </c>
      <c r="AD139" s="226">
        <f>'PRESTAMO BANCARIO'!AC28</f>
        <v>0</v>
      </c>
      <c r="AE139" s="226">
        <f>'PRESTAMO BANCARIO'!AD28</f>
        <v>0</v>
      </c>
      <c r="AF139" s="226">
        <f>'PRESTAMO BANCARIO'!AE28</f>
        <v>0</v>
      </c>
      <c r="AG139" s="226">
        <f>'PRESTAMO BANCARIO'!AF28</f>
        <v>0</v>
      </c>
      <c r="AH139" s="226">
        <f>'PRESTAMO BANCARIO'!AG28</f>
        <v>0</v>
      </c>
      <c r="AI139" s="226">
        <f>'PRESTAMO BANCARIO'!AH28</f>
        <v>0</v>
      </c>
      <c r="AJ139" s="250">
        <f>'PRESTAMO BANCARIO'!AI28</f>
        <v>0</v>
      </c>
    </row>
    <row r="140" spans="1:36">
      <c r="A140" s="374"/>
      <c r="B140" s="375" t="s">
        <v>414</v>
      </c>
      <c r="C140" s="375"/>
      <c r="D140" s="365"/>
      <c r="E140" s="392">
        <v>0</v>
      </c>
      <c r="F140" s="226">
        <f>'PRESTAMO BANCARIO'!E29</f>
        <v>602262.79604969174</v>
      </c>
      <c r="G140" s="226">
        <f>'PRESTAMO BANCARIO'!F29</f>
        <v>602262.79604969174</v>
      </c>
      <c r="H140" s="226">
        <f>'PRESTAMO BANCARIO'!G29</f>
        <v>587206.22614844947</v>
      </c>
      <c r="I140" s="226">
        <f>'PRESTAMO BANCARIO'!H29</f>
        <v>526979.94654348027</v>
      </c>
      <c r="J140" s="226">
        <f>'PRESTAMO BANCARIO'!I29</f>
        <v>466753.66693851096</v>
      </c>
      <c r="K140" s="226">
        <f>'PRESTAMO BANCARIO'!J29</f>
        <v>406527.38733354176</v>
      </c>
      <c r="L140" s="226">
        <f>'PRESTAMO BANCARIO'!K29</f>
        <v>346301.10772857256</v>
      </c>
      <c r="M140" s="226">
        <f>'PRESTAMO BANCARIO'!L29</f>
        <v>286074.82812360337</v>
      </c>
      <c r="N140" s="226">
        <f>'PRESTAMO BANCARIO'!M29</f>
        <v>225848.5485186342</v>
      </c>
      <c r="O140" s="226">
        <f>'PRESTAMO BANCARIO'!N29</f>
        <v>165622.26891366503</v>
      </c>
      <c r="P140" s="226">
        <f>'PRESTAMO BANCARIO'!O29</f>
        <v>105395.98930869586</v>
      </c>
      <c r="Q140" s="226">
        <f>'PRESTAMO BANCARIO'!P29</f>
        <v>45169.709703726694</v>
      </c>
      <c r="R140" s="226">
        <f>'PRESTAMO BANCARIO'!Q29</f>
        <v>-1.9410420974639994E-10</v>
      </c>
      <c r="S140" s="226">
        <f>'PRESTAMO BANCARIO'!R29</f>
        <v>-1.9410420974639994E-10</v>
      </c>
      <c r="T140" s="226">
        <f>'PRESTAMO BANCARIO'!S29</f>
        <v>-1.9410420974639994E-10</v>
      </c>
      <c r="U140" s="226">
        <f>'PRESTAMO BANCARIO'!T29</f>
        <v>-1.9410420974639994E-10</v>
      </c>
      <c r="V140" s="226">
        <f>'PRESTAMO BANCARIO'!U29</f>
        <v>-1.9410420974639994E-10</v>
      </c>
      <c r="W140" s="226">
        <f>'PRESTAMO BANCARIO'!V29</f>
        <v>-1.9410420974639994E-10</v>
      </c>
      <c r="X140" s="226">
        <f>'PRESTAMO BANCARIO'!W29</f>
        <v>-1.9410420974639994E-10</v>
      </c>
      <c r="Y140" s="226">
        <f>'PRESTAMO BANCARIO'!X29</f>
        <v>-1.9410420974639994E-10</v>
      </c>
      <c r="Z140" s="226">
        <f>'PRESTAMO BANCARIO'!Y29</f>
        <v>-1.9410420974639994E-10</v>
      </c>
      <c r="AA140" s="226">
        <f>'PRESTAMO BANCARIO'!Z29</f>
        <v>0</v>
      </c>
      <c r="AB140" s="226">
        <f>'PRESTAMO BANCARIO'!AA29</f>
        <v>0</v>
      </c>
      <c r="AC140" s="226">
        <f>'PRESTAMO BANCARIO'!AB29</f>
        <v>0</v>
      </c>
      <c r="AD140" s="226">
        <f>'PRESTAMO BANCARIO'!AC29</f>
        <v>0</v>
      </c>
      <c r="AE140" s="226">
        <f>'PRESTAMO BANCARIO'!AD29</f>
        <v>0</v>
      </c>
      <c r="AF140" s="226">
        <f>'PRESTAMO BANCARIO'!AE29</f>
        <v>0</v>
      </c>
      <c r="AG140" s="226">
        <f>'PRESTAMO BANCARIO'!AF29</f>
        <v>0</v>
      </c>
      <c r="AH140" s="226">
        <f>'PRESTAMO BANCARIO'!AG29</f>
        <v>0</v>
      </c>
      <c r="AI140" s="226">
        <f>'PRESTAMO BANCARIO'!AH29</f>
        <v>0</v>
      </c>
      <c r="AJ140" s="250">
        <f>'PRESTAMO BANCARIO'!AI29</f>
        <v>0</v>
      </c>
    </row>
    <row r="141" spans="1:36" ht="15.75" thickBot="1">
      <c r="A141" s="377" t="s">
        <v>402</v>
      </c>
      <c r="B141" s="378"/>
      <c r="C141" s="378"/>
      <c r="D141" s="367"/>
      <c r="E141" s="393">
        <f>+E138-E139-E140</f>
        <v>4153928.9599043373</v>
      </c>
      <c r="F141" s="251">
        <f>+F138-F139-F140</f>
        <v>-602262.79604969174</v>
      </c>
      <c r="G141" s="251">
        <f t="shared" ref="G141:H141" si="45">+G138-G139-G140</f>
        <v>-602262.79604969174</v>
      </c>
      <c r="H141" s="251">
        <f t="shared" si="45"/>
        <v>-1002599.1221388832</v>
      </c>
      <c r="I141" s="251">
        <f>+I138-I139-I140</f>
        <v>-942372.84253391402</v>
      </c>
      <c r="J141" s="251">
        <f t="shared" ref="J141:AJ141" si="46">+J138-J139-J140</f>
        <v>-882146.56292894471</v>
      </c>
      <c r="K141" s="251">
        <f t="shared" si="46"/>
        <v>-821920.28332397551</v>
      </c>
      <c r="L141" s="251">
        <f t="shared" si="46"/>
        <v>-761694.00371900632</v>
      </c>
      <c r="M141" s="251">
        <f t="shared" si="46"/>
        <v>-701467.72411403712</v>
      </c>
      <c r="N141" s="251">
        <f t="shared" si="46"/>
        <v>-641241.44450906792</v>
      </c>
      <c r="O141" s="251">
        <f t="shared" si="46"/>
        <v>-581015.16490409872</v>
      </c>
      <c r="P141" s="251">
        <f t="shared" si="46"/>
        <v>-520788.88529912964</v>
      </c>
      <c r="Q141" s="251">
        <f t="shared" si="46"/>
        <v>-460562.60569416045</v>
      </c>
      <c r="R141" s="251">
        <f t="shared" si="46"/>
        <v>1.9410420974639994E-10</v>
      </c>
      <c r="S141" s="251">
        <f t="shared" si="46"/>
        <v>1.9410420974639994E-10</v>
      </c>
      <c r="T141" s="251">
        <f t="shared" si="46"/>
        <v>1.9410420974639994E-10</v>
      </c>
      <c r="U141" s="251">
        <f t="shared" si="46"/>
        <v>1.9410420974639994E-10</v>
      </c>
      <c r="V141" s="251">
        <f t="shared" si="46"/>
        <v>1.9410420974639994E-10</v>
      </c>
      <c r="W141" s="251">
        <f t="shared" si="46"/>
        <v>1.9410420974639994E-10</v>
      </c>
      <c r="X141" s="251">
        <f t="shared" si="46"/>
        <v>1.9410420974639994E-10</v>
      </c>
      <c r="Y141" s="251">
        <f t="shared" si="46"/>
        <v>1.9410420974639994E-10</v>
      </c>
      <c r="Z141" s="251">
        <f t="shared" si="46"/>
        <v>1.9410420974639994E-10</v>
      </c>
      <c r="AA141" s="251">
        <f t="shared" si="46"/>
        <v>0</v>
      </c>
      <c r="AB141" s="251">
        <f t="shared" si="46"/>
        <v>0</v>
      </c>
      <c r="AC141" s="251">
        <f t="shared" si="46"/>
        <v>0</v>
      </c>
      <c r="AD141" s="251">
        <f t="shared" si="46"/>
        <v>0</v>
      </c>
      <c r="AE141" s="251">
        <f t="shared" si="46"/>
        <v>0</v>
      </c>
      <c r="AF141" s="251">
        <f t="shared" si="46"/>
        <v>0</v>
      </c>
      <c r="AG141" s="251">
        <f t="shared" si="46"/>
        <v>0</v>
      </c>
      <c r="AH141" s="251">
        <f t="shared" si="46"/>
        <v>0</v>
      </c>
      <c r="AI141" s="251">
        <f t="shared" si="46"/>
        <v>0</v>
      </c>
      <c r="AJ141" s="252">
        <f t="shared" si="46"/>
        <v>0</v>
      </c>
    </row>
    <row r="142" spans="1:36" ht="15.75" thickBot="1">
      <c r="A142" s="380" t="s">
        <v>403</v>
      </c>
      <c r="B142" s="381"/>
      <c r="C142" s="381"/>
      <c r="D142" s="396"/>
      <c r="E142" s="393">
        <f t="shared" ref="E142:AJ142" si="47">E107+E141</f>
        <v>-1038482.2399760839</v>
      </c>
      <c r="F142" s="251">
        <f t="shared" si="47"/>
        <v>191060.16630839254</v>
      </c>
      <c r="G142" s="251">
        <f t="shared" si="47"/>
        <v>259706.13663436682</v>
      </c>
      <c r="H142" s="251">
        <f t="shared" si="47"/>
        <v>-66045.754343603505</v>
      </c>
      <c r="I142" s="251">
        <f t="shared" si="47"/>
        <v>75217.117070558365</v>
      </c>
      <c r="J142" s="251">
        <f t="shared" si="47"/>
        <v>223490.2718135888</v>
      </c>
      <c r="K142" s="251">
        <f t="shared" si="47"/>
        <v>379380.11484686774</v>
      </c>
      <c r="L142" s="251">
        <f t="shared" si="47"/>
        <v>543545.50554727332</v>
      </c>
      <c r="M142" s="251">
        <f t="shared" si="47"/>
        <v>716702.2950237738</v>
      </c>
      <c r="N142" s="251">
        <f t="shared" si="47"/>
        <v>899628.25591216295</v>
      </c>
      <c r="O142" s="251">
        <f t="shared" si="47"/>
        <v>1093168.4385972668</v>
      </c>
      <c r="P142" s="251">
        <f t="shared" si="47"/>
        <v>1298240.990748646</v>
      </c>
      <c r="Q142" s="251">
        <f t="shared" si="47"/>
        <v>1515843.4802463772</v>
      </c>
      <c r="R142" s="251">
        <f t="shared" si="47"/>
        <v>2147396.0911293915</v>
      </c>
      <c r="S142" s="251">
        <f t="shared" si="47"/>
        <v>2333177.5037359539</v>
      </c>
      <c r="T142" s="251">
        <f t="shared" si="47"/>
        <v>2535029.7998010805</v>
      </c>
      <c r="U142" s="251">
        <f t="shared" si="47"/>
        <v>2754343.1305256411</v>
      </c>
      <c r="V142" s="251">
        <f t="shared" si="47"/>
        <v>2992627.89568392</v>
      </c>
      <c r="W142" s="251">
        <f t="shared" si="47"/>
        <v>3251525.1451375866</v>
      </c>
      <c r="X142" s="251">
        <f t="shared" si="47"/>
        <v>3532817.8800809188</v>
      </c>
      <c r="Y142" s="251">
        <f t="shared" si="47"/>
        <v>3838443.3318440719</v>
      </c>
      <c r="Z142" s="251">
        <f t="shared" si="47"/>
        <v>4170506.3028131425</v>
      </c>
      <c r="AA142" s="251">
        <f t="shared" si="47"/>
        <v>4531293.6613401491</v>
      </c>
      <c r="AB142" s="251">
        <f t="shared" si="47"/>
        <v>4923290.0904630888</v>
      </c>
      <c r="AC142" s="251">
        <f t="shared" si="47"/>
        <v>5349195.1988905855</v>
      </c>
      <c r="AD142" s="251">
        <f t="shared" si="47"/>
        <v>5811942.112087125</v>
      </c>
      <c r="AE142" s="251">
        <f t="shared" si="47"/>
        <v>6314717.6714874748</v>
      </c>
      <c r="AF142" s="251">
        <f t="shared" si="47"/>
        <v>6860984.3809435703</v>
      </c>
      <c r="AG142" s="251">
        <f t="shared" si="47"/>
        <v>7454504.2515394334</v>
      </c>
      <c r="AH142" s="251">
        <f t="shared" si="47"/>
        <v>8099364.7089829482</v>
      </c>
      <c r="AI142" s="251">
        <f t="shared" si="47"/>
        <v>8800006.7419874556</v>
      </c>
      <c r="AJ142" s="252">
        <f t="shared" si="47"/>
        <v>9561255.485488791</v>
      </c>
    </row>
    <row r="143" spans="1:36">
      <c r="A143" s="383" t="s">
        <v>404</v>
      </c>
      <c r="B143" s="384"/>
      <c r="C143" s="384"/>
      <c r="D143" s="370"/>
      <c r="E143" s="392">
        <f t="shared" ref="E143:AJ143" si="48">E108-E140</f>
        <v>-5192411.1998804212</v>
      </c>
      <c r="F143" s="226">
        <f t="shared" si="48"/>
        <v>191060.16630839254</v>
      </c>
      <c r="G143" s="226">
        <f t="shared" si="48"/>
        <v>259706.13663436682</v>
      </c>
      <c r="H143" s="226">
        <f t="shared" si="48"/>
        <v>349347.14164683025</v>
      </c>
      <c r="I143" s="226">
        <f t="shared" si="48"/>
        <v>490610.01306099212</v>
      </c>
      <c r="J143" s="226">
        <f t="shared" si="48"/>
        <v>638883.16780402255</v>
      </c>
      <c r="K143" s="226">
        <f t="shared" si="48"/>
        <v>794773.0108373015</v>
      </c>
      <c r="L143" s="226">
        <f t="shared" si="48"/>
        <v>958938.40153770708</v>
      </c>
      <c r="M143" s="226">
        <f t="shared" si="48"/>
        <v>1132095.1910142074</v>
      </c>
      <c r="N143" s="226">
        <f t="shared" si="48"/>
        <v>1315021.1519025967</v>
      </c>
      <c r="O143" s="226">
        <f t="shared" si="48"/>
        <v>1508561.3345877004</v>
      </c>
      <c r="P143" s="226">
        <f t="shared" si="48"/>
        <v>1713633.8867390798</v>
      </c>
      <c r="Q143" s="226">
        <f t="shared" si="48"/>
        <v>1931236.3762368108</v>
      </c>
      <c r="R143" s="226">
        <f t="shared" si="48"/>
        <v>2147396.0911293915</v>
      </c>
      <c r="S143" s="226">
        <f t="shared" si="48"/>
        <v>2333177.5037359539</v>
      </c>
      <c r="T143" s="226">
        <f t="shared" si="48"/>
        <v>2535029.7998010805</v>
      </c>
      <c r="U143" s="226">
        <f t="shared" si="48"/>
        <v>2754343.1305256411</v>
      </c>
      <c r="V143" s="226">
        <f t="shared" si="48"/>
        <v>2992627.89568392</v>
      </c>
      <c r="W143" s="226">
        <f t="shared" si="48"/>
        <v>3251525.1451375866</v>
      </c>
      <c r="X143" s="226">
        <f t="shared" si="48"/>
        <v>3532817.8800809188</v>
      </c>
      <c r="Y143" s="226">
        <f t="shared" si="48"/>
        <v>3838443.3318440719</v>
      </c>
      <c r="Z143" s="226">
        <f t="shared" si="48"/>
        <v>4170506.3028131425</v>
      </c>
      <c r="AA143" s="226">
        <f t="shared" si="48"/>
        <v>4531293.6613401491</v>
      </c>
      <c r="AB143" s="226">
        <f t="shared" si="48"/>
        <v>4923290.0904630888</v>
      </c>
      <c r="AC143" s="226">
        <f t="shared" si="48"/>
        <v>5349195.1988905855</v>
      </c>
      <c r="AD143" s="226">
        <f t="shared" si="48"/>
        <v>5811942.112087125</v>
      </c>
      <c r="AE143" s="226">
        <f t="shared" si="48"/>
        <v>6314717.6714874748</v>
      </c>
      <c r="AF143" s="226">
        <f t="shared" si="48"/>
        <v>6860984.3809435703</v>
      </c>
      <c r="AG143" s="226">
        <f t="shared" si="48"/>
        <v>7454504.2515394334</v>
      </c>
      <c r="AH143" s="226">
        <f t="shared" si="48"/>
        <v>8099364.7089829482</v>
      </c>
      <c r="AI143" s="226">
        <f t="shared" si="48"/>
        <v>8800006.7419874556</v>
      </c>
      <c r="AJ143" s="250">
        <f t="shared" si="48"/>
        <v>9561255.485488791</v>
      </c>
    </row>
    <row r="144" spans="1:36">
      <c r="A144" s="374" t="s">
        <v>405</v>
      </c>
      <c r="B144" s="375"/>
      <c r="C144" s="386">
        <v>0.35</v>
      </c>
      <c r="D144" s="365"/>
      <c r="E144" s="392">
        <f>IF(E143&lt;0,0,E143*$C144)</f>
        <v>0</v>
      </c>
      <c r="F144" s="226">
        <f t="shared" ref="F144:AJ144" si="49">IF(F143&lt;0,0,F143*$C144)</f>
        <v>66871.058207937385</v>
      </c>
      <c r="G144" s="226">
        <f t="shared" si="49"/>
        <v>90897.147822028375</v>
      </c>
      <c r="H144" s="226">
        <f t="shared" si="49"/>
        <v>122271.49957639058</v>
      </c>
      <c r="I144" s="226">
        <f t="shared" si="49"/>
        <v>171713.50457134724</v>
      </c>
      <c r="J144" s="226">
        <f t="shared" si="49"/>
        <v>223609.10873140788</v>
      </c>
      <c r="K144" s="226">
        <f t="shared" si="49"/>
        <v>278170.55379305553</v>
      </c>
      <c r="L144" s="226">
        <f t="shared" si="49"/>
        <v>335628.44053819746</v>
      </c>
      <c r="M144" s="226">
        <f t="shared" si="49"/>
        <v>396233.31685497257</v>
      </c>
      <c r="N144" s="226">
        <f t="shared" si="49"/>
        <v>460257.40316590882</v>
      </c>
      <c r="O144" s="226">
        <f t="shared" si="49"/>
        <v>527996.46710569516</v>
      </c>
      <c r="P144" s="226">
        <f t="shared" si="49"/>
        <v>599771.86035867792</v>
      </c>
      <c r="Q144" s="226">
        <f t="shared" si="49"/>
        <v>675932.73168288369</v>
      </c>
      <c r="R144" s="226">
        <f t="shared" si="49"/>
        <v>751588.63189528696</v>
      </c>
      <c r="S144" s="226">
        <f t="shared" si="49"/>
        <v>816612.12630758388</v>
      </c>
      <c r="T144" s="226">
        <f t="shared" si="49"/>
        <v>887260.4299303781</v>
      </c>
      <c r="U144" s="226">
        <f t="shared" si="49"/>
        <v>964020.09568397433</v>
      </c>
      <c r="V144" s="226">
        <f t="shared" si="49"/>
        <v>1047419.763489372</v>
      </c>
      <c r="W144" s="226">
        <f t="shared" si="49"/>
        <v>1138033.8007981551</v>
      </c>
      <c r="X144" s="226">
        <f t="shared" si="49"/>
        <v>1236486.2580283214</v>
      </c>
      <c r="Y144" s="226">
        <f t="shared" si="49"/>
        <v>1343455.1661454251</v>
      </c>
      <c r="Z144" s="226">
        <f t="shared" si="49"/>
        <v>1459677.2059845999</v>
      </c>
      <c r="AA144" s="226">
        <f t="shared" si="49"/>
        <v>1585952.7814690522</v>
      </c>
      <c r="AB144" s="226">
        <f t="shared" si="49"/>
        <v>1723151.5316620809</v>
      </c>
      <c r="AC144" s="226">
        <f t="shared" si="49"/>
        <v>1872218.3196117047</v>
      </c>
      <c r="AD144" s="226">
        <f t="shared" si="49"/>
        <v>2034179.7392304935</v>
      </c>
      <c r="AE144" s="226">
        <f t="shared" si="49"/>
        <v>2210151.1850206158</v>
      </c>
      <c r="AF144" s="226">
        <f t="shared" si="49"/>
        <v>2401344.5333302496</v>
      </c>
      <c r="AG144" s="226">
        <f t="shared" si="49"/>
        <v>2609076.4880388016</v>
      </c>
      <c r="AH144" s="226">
        <f t="shared" si="49"/>
        <v>2834777.6481440319</v>
      </c>
      <c r="AI144" s="226">
        <f t="shared" si="49"/>
        <v>3080002.3596956092</v>
      </c>
      <c r="AJ144" s="250">
        <f t="shared" si="49"/>
        <v>3346439.4199210769</v>
      </c>
    </row>
    <row r="145" spans="1:36" ht="15.75" thickBot="1">
      <c r="A145" s="387" t="s">
        <v>406</v>
      </c>
      <c r="B145" s="388"/>
      <c r="C145" s="388"/>
      <c r="D145" s="367"/>
      <c r="E145" s="408"/>
      <c r="F145" s="256"/>
      <c r="G145" s="256"/>
      <c r="H145" s="256"/>
      <c r="I145" s="256"/>
      <c r="J145" s="256"/>
      <c r="K145" s="256"/>
      <c r="L145" s="256"/>
      <c r="M145" s="256"/>
      <c r="N145" s="256"/>
      <c r="O145" s="256"/>
      <c r="P145" s="256"/>
      <c r="Q145" s="256"/>
      <c r="R145" s="256"/>
      <c r="S145" s="256"/>
      <c r="T145" s="266"/>
      <c r="U145" s="266"/>
      <c r="V145" s="266"/>
      <c r="W145" s="265"/>
      <c r="X145" s="265"/>
      <c r="Y145" s="265"/>
      <c r="Z145" s="265"/>
      <c r="AA145" s="265"/>
      <c r="AB145" s="265"/>
      <c r="AC145" s="265"/>
      <c r="AD145" s="265"/>
      <c r="AE145" s="265"/>
      <c r="AF145" s="265"/>
      <c r="AG145" s="265"/>
      <c r="AH145" s="265"/>
      <c r="AI145" s="265"/>
      <c r="AJ145" s="267"/>
    </row>
    <row r="146" spans="1:36" ht="15.75" thickBot="1">
      <c r="A146" s="380" t="s">
        <v>407</v>
      </c>
      <c r="B146" s="389"/>
      <c r="C146" s="389"/>
      <c r="D146" s="396"/>
      <c r="E146" s="393">
        <f>+E142+E145-E144</f>
        <v>-1038482.2399760839</v>
      </c>
      <c r="F146" s="251">
        <f t="shared" ref="F146:M146" si="50">+F142+F145-F144</f>
        <v>124189.10810045515</v>
      </c>
      <c r="G146" s="251">
        <f t="shared" si="50"/>
        <v>168808.98881233844</v>
      </c>
      <c r="H146" s="251">
        <f t="shared" si="50"/>
        <v>-188317.25391999408</v>
      </c>
      <c r="I146" s="251">
        <f t="shared" si="50"/>
        <v>-96496.387500788871</v>
      </c>
      <c r="J146" s="251">
        <f t="shared" si="50"/>
        <v>-118.83691781907692</v>
      </c>
      <c r="K146" s="251">
        <f t="shared" si="50"/>
        <v>101209.56105381221</v>
      </c>
      <c r="L146" s="251">
        <f t="shared" si="50"/>
        <v>207917.06500907586</v>
      </c>
      <c r="M146" s="251">
        <f t="shared" si="50"/>
        <v>320468.97816880123</v>
      </c>
      <c r="N146" s="251">
        <f>+N142+N145-N144</f>
        <v>439370.85274625412</v>
      </c>
      <c r="O146" s="251">
        <f t="shared" ref="O146:AJ146" si="51">+O142+O145-O144</f>
        <v>565171.97149157163</v>
      </c>
      <c r="P146" s="251">
        <f t="shared" si="51"/>
        <v>698469.13038996805</v>
      </c>
      <c r="Q146" s="251">
        <f t="shared" si="51"/>
        <v>839910.74856349349</v>
      </c>
      <c r="R146" s="251">
        <f t="shared" si="51"/>
        <v>1395807.4592341045</v>
      </c>
      <c r="S146" s="251">
        <f t="shared" si="51"/>
        <v>1516565.3774283701</v>
      </c>
      <c r="T146" s="251">
        <f t="shared" si="51"/>
        <v>1647769.3698707023</v>
      </c>
      <c r="U146" s="251">
        <f t="shared" si="51"/>
        <v>1790323.0348416669</v>
      </c>
      <c r="V146" s="251">
        <f t="shared" si="51"/>
        <v>1945208.1321945479</v>
      </c>
      <c r="W146" s="251">
        <f t="shared" si="51"/>
        <v>2113491.3443394313</v>
      </c>
      <c r="X146" s="251">
        <f t="shared" si="51"/>
        <v>2296331.6220525973</v>
      </c>
      <c r="Y146" s="251">
        <f t="shared" si="51"/>
        <v>2494988.1656986466</v>
      </c>
      <c r="Z146" s="251">
        <f t="shared" si="51"/>
        <v>2710829.0968285426</v>
      </c>
      <c r="AA146" s="251">
        <f t="shared" si="51"/>
        <v>2945340.8798710969</v>
      </c>
      <c r="AB146" s="251">
        <f t="shared" si="51"/>
        <v>3200138.5588010079</v>
      </c>
      <c r="AC146" s="251">
        <f t="shared" si="51"/>
        <v>3476976.8792788805</v>
      </c>
      <c r="AD146" s="251">
        <f t="shared" si="51"/>
        <v>3777762.3728566314</v>
      </c>
      <c r="AE146" s="251">
        <f t="shared" si="51"/>
        <v>4104566.486466859</v>
      </c>
      <c r="AF146" s="251">
        <f t="shared" si="51"/>
        <v>4459639.8476133207</v>
      </c>
      <c r="AG146" s="251">
        <f t="shared" si="51"/>
        <v>4845427.7635006318</v>
      </c>
      <c r="AH146" s="251">
        <f t="shared" si="51"/>
        <v>5264587.0608389163</v>
      </c>
      <c r="AI146" s="251">
        <f t="shared" si="51"/>
        <v>5720004.382291846</v>
      </c>
      <c r="AJ146" s="252">
        <f t="shared" si="51"/>
        <v>6214816.0655677142</v>
      </c>
    </row>
    <row r="147" spans="1:36" ht="15.75" customHeight="1" thickBot="1">
      <c r="A147" s="648" t="s">
        <v>467</v>
      </c>
      <c r="B147" s="649"/>
      <c r="C147" s="649"/>
      <c r="D147" s="649"/>
      <c r="E147" s="401">
        <f>E146</f>
        <v>-1038482.2399760839</v>
      </c>
      <c r="F147" s="402">
        <f>+F146+E146</f>
        <v>-914293.13187562872</v>
      </c>
      <c r="G147" s="402">
        <f t="shared" ref="G147:AJ147" si="52">G146+F147</f>
        <v>-745484.14306329028</v>
      </c>
      <c r="H147" s="402">
        <f t="shared" si="52"/>
        <v>-933801.39698328439</v>
      </c>
      <c r="I147" s="402">
        <f t="shared" si="52"/>
        <v>-1030297.7844840733</v>
      </c>
      <c r="J147" s="402">
        <f t="shared" si="52"/>
        <v>-1030416.6214018924</v>
      </c>
      <c r="K147" s="402">
        <f t="shared" si="52"/>
        <v>-929207.06034808024</v>
      </c>
      <c r="L147" s="402">
        <f t="shared" si="52"/>
        <v>-721289.99533900432</v>
      </c>
      <c r="M147" s="402">
        <f t="shared" si="52"/>
        <v>-400821.01717020309</v>
      </c>
      <c r="N147" s="402">
        <f t="shared" si="52"/>
        <v>38549.835576051031</v>
      </c>
      <c r="O147" s="402">
        <f t="shared" si="52"/>
        <v>603721.80706762266</v>
      </c>
      <c r="P147" s="402">
        <f t="shared" si="52"/>
        <v>1302190.9374575908</v>
      </c>
      <c r="Q147" s="402">
        <f t="shared" si="52"/>
        <v>2142101.6860210844</v>
      </c>
      <c r="R147" s="402">
        <f t="shared" si="52"/>
        <v>3537909.1452551889</v>
      </c>
      <c r="S147" s="402">
        <f t="shared" si="52"/>
        <v>5054474.522683559</v>
      </c>
      <c r="T147" s="402">
        <f t="shared" si="52"/>
        <v>6702243.8925542608</v>
      </c>
      <c r="U147" s="402">
        <f t="shared" si="52"/>
        <v>8492566.9273959287</v>
      </c>
      <c r="V147" s="402">
        <f t="shared" si="52"/>
        <v>10437775.059590477</v>
      </c>
      <c r="W147" s="402">
        <f t="shared" si="52"/>
        <v>12551266.403929908</v>
      </c>
      <c r="X147" s="402">
        <f t="shared" si="52"/>
        <v>14847598.025982505</v>
      </c>
      <c r="Y147" s="402">
        <f t="shared" si="52"/>
        <v>17342586.19168115</v>
      </c>
      <c r="Z147" s="402">
        <f t="shared" si="52"/>
        <v>20053415.288509693</v>
      </c>
      <c r="AA147" s="402">
        <f t="shared" si="52"/>
        <v>22998756.168380789</v>
      </c>
      <c r="AB147" s="402">
        <f t="shared" si="52"/>
        <v>26198894.727181796</v>
      </c>
      <c r="AC147" s="402">
        <f t="shared" si="52"/>
        <v>29675871.606460676</v>
      </c>
      <c r="AD147" s="402">
        <f t="shared" si="52"/>
        <v>33453633.979317307</v>
      </c>
      <c r="AE147" s="402">
        <f t="shared" si="52"/>
        <v>37558200.46578417</v>
      </c>
      <c r="AF147" s="402">
        <f t="shared" si="52"/>
        <v>42017840.313397489</v>
      </c>
      <c r="AG147" s="402">
        <f t="shared" si="52"/>
        <v>46863268.07689812</v>
      </c>
      <c r="AH147" s="402">
        <f t="shared" si="52"/>
        <v>52127855.137737036</v>
      </c>
      <c r="AI147" s="402">
        <f t="shared" si="52"/>
        <v>57847859.520028882</v>
      </c>
      <c r="AJ147" s="403">
        <f t="shared" si="52"/>
        <v>64062675.585596599</v>
      </c>
    </row>
    <row r="148" spans="1:36" s="14" customFormat="1" ht="15.75" customHeight="1">
      <c r="A148" s="279"/>
      <c r="B148" s="279"/>
      <c r="C148" s="279"/>
      <c r="D148" s="279"/>
      <c r="E148" s="325"/>
      <c r="F148" s="325"/>
      <c r="G148" s="325"/>
      <c r="H148" s="325"/>
      <c r="I148" s="325"/>
      <c r="J148" s="325"/>
      <c r="K148" s="325"/>
      <c r="L148" s="325"/>
      <c r="M148" s="325"/>
      <c r="N148" s="325"/>
      <c r="O148" s="325"/>
      <c r="P148" s="325"/>
      <c r="Q148" s="325"/>
      <c r="R148" s="325"/>
      <c r="S148" s="325"/>
      <c r="T148" s="325"/>
      <c r="U148" s="325"/>
      <c r="V148" s="325"/>
      <c r="W148" s="325"/>
      <c r="X148" s="325"/>
      <c r="Y148" s="325"/>
      <c r="Z148" s="325"/>
      <c r="AA148" s="325"/>
      <c r="AB148" s="325"/>
      <c r="AC148" s="325"/>
      <c r="AD148" s="325"/>
      <c r="AE148" s="325"/>
      <c r="AF148" s="325"/>
      <c r="AG148" s="325"/>
      <c r="AH148" s="325"/>
      <c r="AI148" s="325"/>
      <c r="AJ148" s="325"/>
    </row>
    <row r="149" spans="1:36" s="14" customFormat="1" ht="15.75" customHeight="1">
      <c r="A149" s="313" t="s">
        <v>218</v>
      </c>
      <c r="H149" s="642" t="s">
        <v>472</v>
      </c>
      <c r="I149" s="642"/>
      <c r="J149" s="642"/>
      <c r="K149" s="642"/>
      <c r="L149" s="325"/>
      <c r="M149" s="325"/>
      <c r="N149" s="325"/>
      <c r="O149" s="325"/>
      <c r="P149" s="325"/>
      <c r="Q149" s="325"/>
      <c r="R149" s="325"/>
      <c r="S149" s="325"/>
      <c r="T149" s="325"/>
      <c r="U149" s="325"/>
      <c r="V149" s="325"/>
      <c r="W149" s="325"/>
      <c r="X149" s="325"/>
      <c r="Y149" s="325"/>
      <c r="Z149" s="325"/>
      <c r="AA149" s="325"/>
      <c r="AB149" s="325"/>
      <c r="AC149" s="325"/>
      <c r="AD149" s="325"/>
      <c r="AE149" s="325"/>
      <c r="AF149" s="325"/>
      <c r="AG149" s="325"/>
      <c r="AH149" s="325"/>
      <c r="AI149" s="325"/>
      <c r="AJ149" s="325"/>
    </row>
    <row r="150" spans="1:36" s="14" customFormat="1" ht="15.75" customHeight="1">
      <c r="A150" s="245" t="s">
        <v>413</v>
      </c>
      <c r="B150" s="219"/>
      <c r="C150" s="219"/>
      <c r="D150" s="246"/>
      <c r="E150" s="246"/>
      <c r="F150" s="246"/>
      <c r="G150" s="246"/>
      <c r="H150" s="246"/>
      <c r="I150" s="246"/>
      <c r="J150" s="246"/>
      <c r="K150" s="246"/>
      <c r="L150" s="325"/>
      <c r="M150" s="325"/>
      <c r="N150" s="325"/>
      <c r="O150" s="325"/>
      <c r="P150" s="325"/>
      <c r="Q150" s="325"/>
      <c r="R150" s="325"/>
      <c r="S150" s="325"/>
      <c r="T150" s="325"/>
      <c r="U150" s="325"/>
      <c r="V150" s="325"/>
      <c r="W150" s="325"/>
      <c r="X150" s="325"/>
      <c r="Y150" s="325"/>
      <c r="Z150" s="325"/>
      <c r="AA150" s="325"/>
      <c r="AB150" s="325"/>
      <c r="AC150" s="325"/>
      <c r="AD150" s="325"/>
      <c r="AE150" s="325"/>
      <c r="AF150" s="325"/>
      <c r="AG150" s="325"/>
      <c r="AH150" s="325"/>
      <c r="AI150" s="325"/>
      <c r="AJ150" s="325"/>
    </row>
    <row r="151" spans="1:36" ht="15.75" thickBot="1">
      <c r="A151" s="219"/>
      <c r="B151" s="219"/>
      <c r="C151" s="219"/>
      <c r="D151" s="231"/>
      <c r="E151" s="231"/>
      <c r="F151" s="231"/>
      <c r="G151" s="231"/>
      <c r="H151" s="231"/>
      <c r="I151" s="231"/>
      <c r="J151" s="231"/>
      <c r="K151" s="231"/>
      <c r="L151" s="231"/>
      <c r="M151" s="231"/>
      <c r="N151" s="231"/>
      <c r="O151" s="231"/>
      <c r="P151" s="231"/>
      <c r="Q151" s="231"/>
      <c r="R151" s="231"/>
      <c r="S151" s="231"/>
      <c r="T151" s="14"/>
      <c r="U151" s="14"/>
      <c r="V151" s="14"/>
    </row>
    <row r="152" spans="1:36">
      <c r="A152" s="219"/>
      <c r="B152" s="219"/>
      <c r="E152" s="257" t="s">
        <v>237</v>
      </c>
      <c r="F152" s="258">
        <v>0.16</v>
      </c>
      <c r="G152" s="248">
        <f>+NPV(F152,F146:AJ146)+E146</f>
        <v>2031531.2046074951</v>
      </c>
      <c r="H152" s="259" t="s">
        <v>392</v>
      </c>
      <c r="I152" s="231"/>
      <c r="J152" s="231"/>
      <c r="K152" s="231"/>
      <c r="L152" s="231"/>
      <c r="M152" s="231"/>
      <c r="N152" s="231"/>
      <c r="O152" s="231"/>
      <c r="P152" s="231"/>
      <c r="Q152" s="231"/>
      <c r="R152" s="231"/>
      <c r="S152" s="231"/>
      <c r="T152" s="14"/>
      <c r="U152" s="14"/>
      <c r="V152" s="14"/>
    </row>
    <row r="153" spans="1:36" ht="15.75" thickBot="1">
      <c r="A153" s="218"/>
      <c r="B153" s="218"/>
      <c r="E153" s="260" t="s">
        <v>238</v>
      </c>
      <c r="F153" s="261"/>
      <c r="G153" s="262">
        <f>+IRR(E146:AJ146)</f>
        <v>0.24453908371558433</v>
      </c>
      <c r="H153" s="263"/>
      <c r="I153" s="228"/>
      <c r="J153" s="228"/>
      <c r="K153" s="228"/>
      <c r="L153" s="228"/>
      <c r="M153" s="228"/>
      <c r="N153" s="228"/>
      <c r="O153" s="228"/>
      <c r="P153" s="228"/>
      <c r="Q153" s="228"/>
      <c r="R153" s="228"/>
      <c r="S153" s="228"/>
      <c r="T153" s="14"/>
      <c r="U153" s="14"/>
      <c r="V153" s="14"/>
    </row>
    <row r="154" spans="1:36" ht="15.75" customHeight="1" thickBot="1">
      <c r="E154" s="665" t="s">
        <v>239</v>
      </c>
      <c r="F154" s="666"/>
      <c r="G154" s="434" t="str">
        <f>+COUNTIF(F158:W158,1)&amp;" años y "&amp;ROUND(SUM(F159:W159),0)&amp;" días"</f>
        <v>8 años y 333 días</v>
      </c>
      <c r="H154" s="435"/>
    </row>
    <row r="155" spans="1:36" ht="15.75" customHeight="1">
      <c r="E155" s="233"/>
      <c r="F155" s="233"/>
      <c r="G155" s="217"/>
      <c r="H155" s="217"/>
    </row>
    <row r="156" spans="1:36" ht="15.75" hidden="1" customHeight="1">
      <c r="E156" s="233"/>
      <c r="F156" s="233"/>
      <c r="G156" s="217"/>
      <c r="H156" s="217"/>
    </row>
    <row r="157" spans="1:36" hidden="1"/>
    <row r="158" spans="1:36" ht="15.75" hidden="1" customHeight="1">
      <c r="A158" s="234"/>
      <c r="B158" s="235"/>
      <c r="C158" s="234"/>
      <c r="D158" s="234"/>
      <c r="E158" s="234"/>
      <c r="F158" s="234">
        <f t="shared" ref="F158:AJ158" si="53">+IF(F147&lt;0,1,(-365*E147/F146))</f>
        <v>1</v>
      </c>
      <c r="G158" s="234">
        <f t="shared" si="53"/>
        <v>1</v>
      </c>
      <c r="H158" s="234">
        <f t="shared" si="53"/>
        <v>1</v>
      </c>
      <c r="I158" s="234">
        <f t="shared" si="53"/>
        <v>1</v>
      </c>
      <c r="J158" s="234">
        <f t="shared" si="53"/>
        <v>1</v>
      </c>
      <c r="K158" s="234">
        <f t="shared" si="53"/>
        <v>1</v>
      </c>
      <c r="L158" s="234">
        <f t="shared" si="53"/>
        <v>1</v>
      </c>
      <c r="M158" s="234">
        <f t="shared" si="53"/>
        <v>1</v>
      </c>
      <c r="N158" s="234">
        <f t="shared" si="53"/>
        <v>332.97536773932347</v>
      </c>
      <c r="O158" s="234">
        <f t="shared" si="53"/>
        <v>-24.896298286208378</v>
      </c>
      <c r="P158" s="234">
        <f t="shared" si="53"/>
        <v>-315.48775742838069</v>
      </c>
      <c r="Q158" s="234">
        <f t="shared" si="53"/>
        <v>-565.89309398043758</v>
      </c>
      <c r="R158" s="234">
        <f t="shared" si="53"/>
        <v>-560.15398844960691</v>
      </c>
      <c r="S158" s="234">
        <f t="shared" si="53"/>
        <v>-851.48774806388849</v>
      </c>
      <c r="T158" s="234">
        <f t="shared" si="53"/>
        <v>-1119.6246480320629</v>
      </c>
      <c r="U158" s="234">
        <f t="shared" si="53"/>
        <v>-1366.4120793701643</v>
      </c>
      <c r="V158" s="234">
        <f t="shared" si="53"/>
        <v>-1593.5502618953128</v>
      </c>
      <c r="W158" s="234">
        <f t="shared" si="53"/>
        <v>-1802.6039742032956</v>
      </c>
      <c r="X158" s="234">
        <f t="shared" si="53"/>
        <v>-1995.0133480021748</v>
      </c>
      <c r="Y158" s="234">
        <f t="shared" si="53"/>
        <v>-2172.1038015288868</v>
      </c>
      <c r="Z158" s="234">
        <f t="shared" si="53"/>
        <v>-2335.0951807951578</v>
      </c>
      <c r="AA158" s="234">
        <f t="shared" si="53"/>
        <v>-2485.1101719086505</v>
      </c>
      <c r="AB158" s="234">
        <f t="shared" si="53"/>
        <v>-2623.182042656354</v>
      </c>
      <c r="AC158" s="234">
        <f t="shared" si="53"/>
        <v>-2750.2617668842895</v>
      </c>
      <c r="AD158" s="234">
        <f t="shared" si="53"/>
        <v>-2867.2245809276624</v>
      </c>
      <c r="AE158" s="234">
        <f t="shared" si="53"/>
        <v>-2974.8760174089598</v>
      </c>
      <c r="AF158" s="234">
        <f t="shared" si="53"/>
        <v>-3073.9574581000693</v>
      </c>
      <c r="AG158" s="234">
        <f t="shared" si="53"/>
        <v>-3165.1512442133808</v>
      </c>
      <c r="AH158" s="234">
        <f t="shared" si="53"/>
        <v>-3249.0853794223517</v>
      </c>
      <c r="AI158" s="234">
        <f t="shared" si="53"/>
        <v>-3326.3378580927874</v>
      </c>
      <c r="AJ158" s="234">
        <f t="shared" si="53"/>
        <v>-3397.4406486126259</v>
      </c>
    </row>
    <row r="159" spans="1:36" ht="15.75" hidden="1" customHeight="1" thickBot="1">
      <c r="A159" s="236"/>
      <c r="B159" s="237"/>
      <c r="C159" s="236"/>
      <c r="D159" s="236"/>
      <c r="E159" s="236"/>
      <c r="F159" s="236">
        <f>+IF(F158&gt;0,IF(F158&lt;&gt;1,F158,0),0)</f>
        <v>0</v>
      </c>
      <c r="G159" s="236">
        <f t="shared" ref="G159:N159" si="54">+IF(G158&gt;0,IF(G158&lt;&gt;1,G158,0),0)</f>
        <v>0</v>
      </c>
      <c r="H159" s="236">
        <f t="shared" si="54"/>
        <v>0</v>
      </c>
      <c r="I159" s="236">
        <f t="shared" si="54"/>
        <v>0</v>
      </c>
      <c r="J159" s="236">
        <f t="shared" si="54"/>
        <v>0</v>
      </c>
      <c r="K159" s="236">
        <f t="shared" si="54"/>
        <v>0</v>
      </c>
      <c r="L159" s="236">
        <f t="shared" si="54"/>
        <v>0</v>
      </c>
      <c r="M159" s="236">
        <f t="shared" si="54"/>
        <v>0</v>
      </c>
      <c r="N159" s="236">
        <f t="shared" si="54"/>
        <v>332.97536773932347</v>
      </c>
      <c r="O159" s="236">
        <f>+IF(O158&gt;0,IF(O158&lt;&gt;1,O158,0),0)</f>
        <v>0</v>
      </c>
      <c r="P159" s="236">
        <f>+IF(P158&gt;0,IF(P158&gt;1,P158,0),0)</f>
        <v>0</v>
      </c>
      <c r="Q159" s="236">
        <f t="shared" ref="Q159:AJ159" si="55">+IF(Q158&gt;0,IF(Q158&lt;&gt;1,Q158,0),0)</f>
        <v>0</v>
      </c>
      <c r="R159" s="236">
        <f t="shared" si="55"/>
        <v>0</v>
      </c>
      <c r="S159" s="236">
        <f t="shared" si="55"/>
        <v>0</v>
      </c>
      <c r="T159" s="236">
        <f t="shared" si="55"/>
        <v>0</v>
      </c>
      <c r="U159" s="236">
        <f t="shared" si="55"/>
        <v>0</v>
      </c>
      <c r="V159" s="236">
        <f t="shared" si="55"/>
        <v>0</v>
      </c>
      <c r="W159" s="236">
        <f t="shared" si="55"/>
        <v>0</v>
      </c>
      <c r="X159" s="236">
        <f t="shared" si="55"/>
        <v>0</v>
      </c>
      <c r="Y159" s="236">
        <f t="shared" si="55"/>
        <v>0</v>
      </c>
      <c r="Z159" s="236">
        <f t="shared" si="55"/>
        <v>0</v>
      </c>
      <c r="AA159" s="236">
        <f t="shared" si="55"/>
        <v>0</v>
      </c>
      <c r="AB159" s="236">
        <f t="shared" si="55"/>
        <v>0</v>
      </c>
      <c r="AC159" s="236">
        <f t="shared" si="55"/>
        <v>0</v>
      </c>
      <c r="AD159" s="236">
        <f t="shared" si="55"/>
        <v>0</v>
      </c>
      <c r="AE159" s="236">
        <f t="shared" si="55"/>
        <v>0</v>
      </c>
      <c r="AF159" s="236">
        <f t="shared" si="55"/>
        <v>0</v>
      </c>
      <c r="AG159" s="236">
        <f t="shared" si="55"/>
        <v>0</v>
      </c>
      <c r="AH159" s="236">
        <f t="shared" si="55"/>
        <v>0</v>
      </c>
      <c r="AI159" s="236">
        <f t="shared" si="55"/>
        <v>0</v>
      </c>
      <c r="AJ159" s="236">
        <f t="shared" si="55"/>
        <v>0</v>
      </c>
    </row>
    <row r="160" spans="1:36" ht="15.75" hidden="1" customHeight="1">
      <c r="A160" s="238"/>
      <c r="B160" s="239"/>
      <c r="C160" s="238"/>
      <c r="D160" s="238"/>
      <c r="E160" s="240"/>
      <c r="F160" s="238"/>
      <c r="G160" s="238"/>
      <c r="H160" s="238"/>
      <c r="I160" s="238"/>
      <c r="J160" s="238"/>
      <c r="K160" s="238"/>
      <c r="L160" s="238"/>
      <c r="M160" s="238"/>
      <c r="N160" s="238"/>
      <c r="O160" s="238"/>
      <c r="P160" s="238"/>
      <c r="Q160" s="238"/>
      <c r="R160" s="238"/>
      <c r="S160" s="238"/>
      <c r="T160" s="238"/>
      <c r="U160" s="238"/>
      <c r="V160" s="238"/>
      <c r="W160" s="238"/>
      <c r="X160" s="238"/>
      <c r="Y160" s="238"/>
      <c r="Z160" s="238"/>
      <c r="AA160" s="238"/>
      <c r="AB160" s="238"/>
      <c r="AC160" s="238"/>
      <c r="AD160" s="238"/>
      <c r="AE160" s="238"/>
      <c r="AF160" s="238"/>
      <c r="AG160" s="238"/>
      <c r="AH160" s="238"/>
      <c r="AI160" s="238"/>
      <c r="AJ160" s="238"/>
    </row>
    <row r="161" spans="1:36" ht="15.75" hidden="1" customHeight="1">
      <c r="A161" s="238"/>
      <c r="B161" s="239"/>
      <c r="C161" s="238"/>
      <c r="D161" s="238"/>
      <c r="E161" s="241"/>
      <c r="F161" s="238"/>
      <c r="G161" s="238"/>
      <c r="H161" s="238"/>
      <c r="I161" s="238"/>
      <c r="J161" s="238"/>
      <c r="K161" s="238"/>
      <c r="L161" s="238"/>
      <c r="M161" s="238"/>
      <c r="N161" s="238"/>
      <c r="O161" s="238"/>
      <c r="P161" s="238"/>
      <c r="Q161" s="238"/>
      <c r="R161" s="238"/>
      <c r="S161" s="238"/>
      <c r="T161" s="238"/>
      <c r="U161" s="238"/>
      <c r="V161" s="238"/>
      <c r="W161" s="238"/>
      <c r="X161" s="238"/>
      <c r="Y161" s="238"/>
      <c r="Z161" s="238"/>
      <c r="AA161" s="238"/>
      <c r="AB161" s="238"/>
      <c r="AC161" s="238"/>
      <c r="AD161" s="238"/>
      <c r="AE161" s="238"/>
      <c r="AF161" s="238"/>
      <c r="AG161" s="238"/>
      <c r="AH161" s="238"/>
      <c r="AI161" s="238"/>
      <c r="AJ161" s="238"/>
    </row>
    <row r="162" spans="1:36" ht="15.75" hidden="1" customHeight="1" thickBot="1">
      <c r="A162" s="238"/>
      <c r="B162" s="239" t="s">
        <v>411</v>
      </c>
      <c r="C162" s="238"/>
      <c r="D162" s="238"/>
      <c r="E162" s="238"/>
      <c r="F162" s="238"/>
      <c r="G162" s="238"/>
      <c r="H162" s="238"/>
      <c r="I162" s="238"/>
      <c r="J162" s="238"/>
      <c r="K162" s="238"/>
      <c r="L162" s="238"/>
      <c r="M162" s="238"/>
      <c r="N162" s="238"/>
      <c r="O162" s="238"/>
      <c r="P162" s="238"/>
      <c r="Q162" s="238"/>
      <c r="R162" s="238"/>
      <c r="S162" s="238"/>
      <c r="T162" s="238"/>
      <c r="U162" s="238"/>
      <c r="V162" s="238"/>
      <c r="W162" s="238"/>
      <c r="X162" s="238"/>
      <c r="Y162" s="238"/>
      <c r="Z162" s="238"/>
      <c r="AA162" s="238"/>
      <c r="AB162" s="238"/>
      <c r="AC162" s="238"/>
      <c r="AD162" s="238"/>
      <c r="AE162" s="238"/>
      <c r="AF162" s="238"/>
      <c r="AG162" s="238"/>
      <c r="AH162" s="238"/>
      <c r="AI162" s="238"/>
      <c r="AJ162" s="238"/>
    </row>
    <row r="163" spans="1:36" ht="15.75" hidden="1" customHeight="1" thickBot="1">
      <c r="A163" s="242"/>
      <c r="B163" s="243" t="s">
        <v>412</v>
      </c>
      <c r="C163" s="244"/>
      <c r="D163" s="244"/>
      <c r="E163" s="124">
        <f>+E146/(1+$F$152)^E137</f>
        <v>-1038482.2399760839</v>
      </c>
      <c r="F163" s="124">
        <f>+F146/(1+$F$152)^F137</f>
        <v>107059.57594866824</v>
      </c>
      <c r="G163" s="124">
        <f t="shared" ref="G163:AJ163" si="56">+G146/(1+$F$152)^G137</f>
        <v>125452.57789264154</v>
      </c>
      <c r="H163" s="124">
        <f t="shared" si="56"/>
        <v>-120646.89378407921</v>
      </c>
      <c r="I163" s="124">
        <f t="shared" si="56"/>
        <v>-53294.095794310408</v>
      </c>
      <c r="J163" s="124">
        <f t="shared" si="56"/>
        <v>-56.579803285370474</v>
      </c>
      <c r="K163" s="124">
        <f t="shared" si="56"/>
        <v>41540.680432826164</v>
      </c>
      <c r="L163" s="124">
        <f t="shared" si="56"/>
        <v>73567.197367376531</v>
      </c>
      <c r="M163" s="124">
        <f t="shared" si="56"/>
        <v>97751.19645553334</v>
      </c>
      <c r="N163" s="124">
        <f t="shared" si="56"/>
        <v>115533.8750540188</v>
      </c>
      <c r="O163" s="124">
        <f t="shared" si="56"/>
        <v>128115.21906484413</v>
      </c>
      <c r="P163" s="124">
        <f t="shared" si="56"/>
        <v>136492.67187340854</v>
      </c>
      <c r="Q163" s="124">
        <f t="shared" si="56"/>
        <v>141493.75375897423</v>
      </c>
      <c r="R163" s="124">
        <f t="shared" si="56"/>
        <v>202708.35762095332</v>
      </c>
      <c r="S163" s="124">
        <f t="shared" si="56"/>
        <v>189866.91232544847</v>
      </c>
      <c r="T163" s="124">
        <f t="shared" si="56"/>
        <v>177838.82782117196</v>
      </c>
      <c r="U163" s="124">
        <f t="shared" si="56"/>
        <v>166572.60277041449</v>
      </c>
      <c r="V163" s="124">
        <f t="shared" si="56"/>
        <v>156019.99500690473</v>
      </c>
      <c r="W163" s="124">
        <f t="shared" si="56"/>
        <v>146135.81550044994</v>
      </c>
      <c r="X163" s="124">
        <f t="shared" si="56"/>
        <v>136877.73532141419</v>
      </c>
      <c r="Y163" s="124">
        <f t="shared" si="56"/>
        <v>128206.10478773985</v>
      </c>
      <c r="Z163" s="124">
        <f t="shared" si="56"/>
        <v>120083.78402825382</v>
      </c>
      <c r="AA163" s="124">
        <f t="shared" si="56"/>
        <v>112475.98424389625</v>
      </c>
      <c r="AB163" s="124">
        <f t="shared" si="56"/>
        <v>105350.11899344514</v>
      </c>
      <c r="AC163" s="124">
        <f t="shared" si="56"/>
        <v>98675.664872463385</v>
      </c>
      <c r="AD163" s="124">
        <f t="shared" si="56"/>
        <v>92424.030993744032</v>
      </c>
      <c r="AE163" s="124">
        <f t="shared" si="56"/>
        <v>86568.43671461592</v>
      </c>
      <c r="AF163" s="124">
        <f t="shared" si="56"/>
        <v>81083.797091265456</v>
      </c>
      <c r="AG163" s="124">
        <f t="shared" si="56"/>
        <v>75946.615572851719</v>
      </c>
      <c r="AH163" s="124">
        <f t="shared" si="56"/>
        <v>71134.883478788077</v>
      </c>
      <c r="AI163" s="124">
        <f t="shared" si="56"/>
        <v>66627.985831252794</v>
      </c>
      <c r="AJ163" s="124">
        <f t="shared" si="56"/>
        <v>62406.613141888316</v>
      </c>
    </row>
    <row r="164" spans="1:36" ht="15.75" hidden="1" customHeight="1" thickBot="1">
      <c r="A164" s="236"/>
      <c r="B164" s="237"/>
      <c r="C164" s="236"/>
      <c r="D164" s="236"/>
      <c r="E164" s="236"/>
      <c r="F164" s="236"/>
      <c r="G164" s="236"/>
      <c r="H164" s="236"/>
      <c r="I164" s="236"/>
      <c r="J164" s="236"/>
      <c r="K164" s="236"/>
      <c r="L164" s="236"/>
      <c r="M164" s="236"/>
      <c r="N164" s="236"/>
      <c r="O164" s="236"/>
      <c r="P164" s="236"/>
      <c r="Q164" s="236"/>
      <c r="R164" s="236"/>
      <c r="S164" s="236"/>
      <c r="T164" s="236"/>
      <c r="U164" s="236"/>
      <c r="V164" s="236"/>
      <c r="W164" s="236"/>
      <c r="X164" s="236"/>
      <c r="Y164" s="236"/>
      <c r="Z164" s="236"/>
      <c r="AA164" s="236"/>
      <c r="AB164" s="236"/>
      <c r="AC164" s="236"/>
      <c r="AD164" s="236"/>
      <c r="AE164" s="236"/>
      <c r="AF164" s="236"/>
      <c r="AG164" s="236"/>
      <c r="AH164" s="236"/>
      <c r="AI164" s="236"/>
      <c r="AJ164" s="236"/>
    </row>
    <row r="165" spans="1:36" ht="15.75" hidden="1" customHeight="1">
      <c r="E165" s="233"/>
      <c r="F165" s="233"/>
      <c r="G165" s="217"/>
      <c r="H165" s="217"/>
    </row>
    <row r="166" spans="1:36" ht="23.25" hidden="1" customHeight="1">
      <c r="A166" s="306"/>
      <c r="B166" s="306"/>
      <c r="C166" s="306"/>
      <c r="D166" s="306"/>
      <c r="E166" s="306"/>
      <c r="F166" s="306"/>
      <c r="G166" s="306"/>
      <c r="H166" s="306"/>
      <c r="I166" s="306"/>
      <c r="J166" s="306"/>
      <c r="K166" s="306"/>
      <c r="L166" s="306"/>
    </row>
    <row r="168" spans="1:36" ht="18.75">
      <c r="A168" s="313" t="s">
        <v>218</v>
      </c>
      <c r="B168" s="314"/>
      <c r="C168" s="314"/>
      <c r="D168" s="314"/>
      <c r="E168" s="314"/>
      <c r="F168" s="314"/>
      <c r="G168" s="314"/>
      <c r="H168" s="641" t="s">
        <v>470</v>
      </c>
      <c r="I168" s="641"/>
      <c r="J168" s="641"/>
    </row>
    <row r="169" spans="1:36" ht="9.75" customHeight="1"/>
    <row r="170" spans="1:36">
      <c r="A170" s="96" t="s">
        <v>219</v>
      </c>
    </row>
    <row r="171" spans="1:36">
      <c r="B171" t="s">
        <v>220</v>
      </c>
      <c r="D171" s="112" t="s">
        <v>392</v>
      </c>
      <c r="E171" s="16">
        <f>'RESUMEN PRESUPUESTO'!E18*D174</f>
        <v>5192411.1998804212</v>
      </c>
      <c r="G171" t="s">
        <v>408</v>
      </c>
      <c r="J171" s="162">
        <v>0.01</v>
      </c>
    </row>
    <row r="172" spans="1:36">
      <c r="B172" t="s">
        <v>236</v>
      </c>
      <c r="E172" s="112" t="s">
        <v>430</v>
      </c>
      <c r="G172" t="s">
        <v>408</v>
      </c>
      <c r="J172" s="162">
        <v>0.01</v>
      </c>
    </row>
    <row r="173" spans="1:36">
      <c r="B173" t="s">
        <v>221</v>
      </c>
      <c r="E173">
        <v>2017</v>
      </c>
      <c r="G173" t="s">
        <v>415</v>
      </c>
      <c r="J173" s="409"/>
      <c r="O173" s="314"/>
      <c r="P173" s="314"/>
      <c r="Q173" s="314"/>
      <c r="R173" s="314"/>
      <c r="S173" s="314"/>
      <c r="T173" s="314"/>
    </row>
    <row r="174" spans="1:36">
      <c r="B174" s="113" t="s">
        <v>222</v>
      </c>
      <c r="D174">
        <v>9.5399999999999991</v>
      </c>
      <c r="E174" s="4" t="s">
        <v>223</v>
      </c>
      <c r="G174" t="s">
        <v>431</v>
      </c>
      <c r="J174" s="162">
        <v>0.04</v>
      </c>
    </row>
    <row r="175" spans="1:36" ht="18.75" customHeight="1">
      <c r="J175" s="113"/>
      <c r="N175" s="313"/>
      <c r="U175" s="641"/>
      <c r="V175" s="641"/>
      <c r="W175" s="641"/>
      <c r="Y175" s="313"/>
      <c r="AF175" s="641"/>
      <c r="AG175" s="641"/>
      <c r="AH175" s="641"/>
    </row>
    <row r="176" spans="1:36" ht="15.75">
      <c r="A176" s="245" t="s">
        <v>224</v>
      </c>
      <c r="N176" s="245"/>
      <c r="Y176" s="245"/>
    </row>
    <row r="177" spans="1:44" ht="15.75" thickBot="1">
      <c r="AK177" s="9"/>
      <c r="AL177" s="9"/>
      <c r="AM177" s="9"/>
      <c r="AN177" s="9"/>
      <c r="AO177" s="9"/>
      <c r="AP177" s="9"/>
      <c r="AQ177" s="9"/>
      <c r="AR177" s="9"/>
    </row>
    <row r="178" spans="1:44" ht="15.75" thickBot="1">
      <c r="A178" s="655" t="s">
        <v>79</v>
      </c>
      <c r="B178" s="656"/>
      <c r="C178" s="656"/>
      <c r="D178" s="657"/>
      <c r="E178" s="440">
        <v>0</v>
      </c>
      <c r="F178" s="440">
        <v>1</v>
      </c>
      <c r="G178" s="440">
        <v>2</v>
      </c>
      <c r="H178" s="440">
        <v>3</v>
      </c>
      <c r="I178" s="440">
        <v>4</v>
      </c>
      <c r="J178" s="440">
        <v>5</v>
      </c>
      <c r="K178" s="440">
        <v>6</v>
      </c>
      <c r="L178" s="440">
        <v>7</v>
      </c>
      <c r="M178" s="440">
        <v>8</v>
      </c>
      <c r="N178" s="440">
        <v>9</v>
      </c>
      <c r="O178" s="440">
        <v>10</v>
      </c>
      <c r="P178" s="440">
        <v>11</v>
      </c>
      <c r="Q178" s="440">
        <v>12</v>
      </c>
      <c r="R178" s="440">
        <v>13</v>
      </c>
      <c r="S178" s="440">
        <v>14</v>
      </c>
      <c r="T178" s="440">
        <v>15</v>
      </c>
      <c r="U178" s="440">
        <v>16</v>
      </c>
      <c r="V178" s="440">
        <v>17</v>
      </c>
      <c r="W178" s="440">
        <v>18</v>
      </c>
      <c r="X178" s="440">
        <v>19</v>
      </c>
      <c r="Y178" s="440">
        <v>20</v>
      </c>
      <c r="Z178" s="440">
        <v>21</v>
      </c>
      <c r="AA178" s="440">
        <v>22</v>
      </c>
      <c r="AB178" s="440">
        <v>23</v>
      </c>
      <c r="AC178" s="440">
        <v>24</v>
      </c>
      <c r="AD178" s="440">
        <v>25</v>
      </c>
      <c r="AE178" s="440">
        <v>26</v>
      </c>
      <c r="AF178" s="440">
        <v>27</v>
      </c>
      <c r="AG178" s="440">
        <v>28</v>
      </c>
      <c r="AH178" s="440">
        <v>29</v>
      </c>
      <c r="AI178" s="440">
        <v>30</v>
      </c>
      <c r="AJ178" s="441">
        <v>31</v>
      </c>
      <c r="AK178" s="282"/>
      <c r="AL178" s="282"/>
      <c r="AM178" s="282"/>
      <c r="AN178" s="282"/>
      <c r="AO178" s="282"/>
      <c r="AP178" s="282"/>
      <c r="AQ178" s="282"/>
      <c r="AR178" s="282"/>
    </row>
    <row r="179" spans="1:44">
      <c r="A179" s="658" t="s">
        <v>225</v>
      </c>
      <c r="B179" s="659"/>
      <c r="C179" s="659"/>
      <c r="D179" s="659"/>
      <c r="E179" s="342"/>
      <c r="F179" s="264"/>
      <c r="G179" s="264"/>
      <c r="H179" s="264"/>
      <c r="I179" s="264"/>
      <c r="J179" s="264"/>
      <c r="K179" s="264"/>
      <c r="L179" s="264"/>
      <c r="M179" s="264"/>
      <c r="N179" s="264"/>
      <c r="O179" s="264"/>
      <c r="P179" s="264"/>
      <c r="Q179" s="264"/>
      <c r="R179" s="264"/>
      <c r="S179" s="264"/>
      <c r="T179" s="264"/>
      <c r="U179" s="264"/>
      <c r="V179" s="264"/>
      <c r="W179" s="264"/>
      <c r="X179" s="264"/>
      <c r="Y179" s="264"/>
      <c r="Z179" s="264"/>
      <c r="AA179" s="264"/>
      <c r="AB179" s="264"/>
      <c r="AC179" s="264"/>
      <c r="AD179" s="264"/>
      <c r="AE179" s="264"/>
      <c r="AF179" s="264"/>
      <c r="AG179" s="264"/>
      <c r="AH179" s="264"/>
      <c r="AI179" s="264"/>
      <c r="AJ179" s="269"/>
    </row>
    <row r="180" spans="1:44">
      <c r="A180" s="363"/>
      <c r="B180" s="364" t="s">
        <v>234</v>
      </c>
      <c r="C180" s="365"/>
      <c r="D180" s="365"/>
      <c r="E180" s="343"/>
      <c r="F180" s="37">
        <f>INGRESOS!$I$73</f>
        <v>2187462.97709148</v>
      </c>
      <c r="G180" s="37">
        <f>INGRESOS!$I$74</f>
        <v>2274196.1601751391</v>
      </c>
      <c r="H180" s="37">
        <f>INGRESOS!$I$75</f>
        <v>2364398.670582145</v>
      </c>
      <c r="I180" s="37">
        <f>INGRESOS!$I$76</f>
        <v>2458209.2814054308</v>
      </c>
      <c r="J180" s="37">
        <f>INGRESOS!$I$77</f>
        <v>2555772.3166616485</v>
      </c>
      <c r="K180" s="37">
        <f>INGRESOS!$I$78</f>
        <v>2657237.8733281139</v>
      </c>
      <c r="L180" s="37">
        <f>INGRESOS!$I$79</f>
        <v>2762762.0522612385</v>
      </c>
      <c r="M180" s="37">
        <f>INGRESOS!$I$80</f>
        <v>2872507.1983516882</v>
      </c>
      <c r="N180" s="37">
        <f>INGRESOS!$I$81</f>
        <v>2986642.1502857557</v>
      </c>
      <c r="O180" s="37">
        <f>INGRESOS!$I$82</f>
        <v>3105342.500297185</v>
      </c>
      <c r="P180" s="37">
        <f>INGRESOS!$I$83</f>
        <v>3228790.8643090734</v>
      </c>
      <c r="Q180" s="37">
        <f>INGRESOS!$I$84</f>
        <v>3357177.1628814358</v>
      </c>
      <c r="R180" s="37">
        <f>INGRESOS!$I$85</f>
        <v>3490698.9133966933</v>
      </c>
      <c r="S180" s="37">
        <f>INGRESOS!$I$86</f>
        <v>3629561.5339325611</v>
      </c>
      <c r="T180" s="37">
        <f>INGRESOS!$I$87</f>
        <v>3773978.6592898639</v>
      </c>
      <c r="U180" s="37">
        <f>INGRESOS!$I$88</f>
        <v>3924172.4696614584</v>
      </c>
      <c r="V180" s="37">
        <f>INGRESOS!$I$89</f>
        <v>4080374.0324479165</v>
      </c>
      <c r="W180" s="37">
        <f>INGRESOS!$I$90</f>
        <v>4242823.6577458335</v>
      </c>
      <c r="X180" s="37">
        <f>INGRESOS!$I$91</f>
        <v>4411771.2680556662</v>
      </c>
      <c r="Y180" s="37">
        <f>INGRESOS!$I$92</f>
        <v>4587476.7827778934</v>
      </c>
      <c r="Z180" s="37">
        <f>INGRESOS!$I$93</f>
        <v>4770210.5180890094</v>
      </c>
      <c r="AA180" s="37">
        <f>INGRESOS!$I$94</f>
        <v>4960253.6028125705</v>
      </c>
      <c r="AB180" s="37">
        <f>INGRESOS!$I$95</f>
        <v>5157898.4109250726</v>
      </c>
      <c r="AC180" s="37">
        <f>INGRESOS!$I$96</f>
        <v>5363449.0113620758</v>
      </c>
      <c r="AD180" s="37">
        <f>INGRESOS!$I$97</f>
        <v>5577221.6358165592</v>
      </c>
      <c r="AE180" s="37">
        <f>INGRESOS!$I$98</f>
        <v>5799545.165249221</v>
      </c>
      <c r="AF180" s="37">
        <f>INGRESOS!$I$99</f>
        <v>6030761.6358591896</v>
      </c>
      <c r="AG180" s="37">
        <f>INGRESOS!$I$100</f>
        <v>6271226.7652935572</v>
      </c>
      <c r="AH180" s="37">
        <f>INGRESOS!$I$101</f>
        <v>6521310.4999052985</v>
      </c>
      <c r="AI180" s="37">
        <f>INGRESOS!$I$102</f>
        <v>6781397.5839015106</v>
      </c>
      <c r="AJ180" s="344">
        <f>INGRESOS!$I$103</f>
        <v>7051888.1512575718</v>
      </c>
    </row>
    <row r="181" spans="1:44" ht="15.75" thickBot="1">
      <c r="A181" s="366" t="s">
        <v>226</v>
      </c>
      <c r="B181" s="367"/>
      <c r="C181" s="367"/>
      <c r="D181" s="367"/>
      <c r="E181" s="347">
        <f t="shared" ref="E181:S181" si="57">SUM(E180)</f>
        <v>0</v>
      </c>
      <c r="F181" s="123">
        <f t="shared" si="57"/>
        <v>2187462.97709148</v>
      </c>
      <c r="G181" s="123">
        <f t="shared" si="57"/>
        <v>2274196.1601751391</v>
      </c>
      <c r="H181" s="123">
        <f t="shared" si="57"/>
        <v>2364398.670582145</v>
      </c>
      <c r="I181" s="123">
        <f t="shared" si="57"/>
        <v>2458209.2814054308</v>
      </c>
      <c r="J181" s="123">
        <f t="shared" si="57"/>
        <v>2555772.3166616485</v>
      </c>
      <c r="K181" s="123">
        <f t="shared" si="57"/>
        <v>2657237.8733281139</v>
      </c>
      <c r="L181" s="123">
        <f t="shared" si="57"/>
        <v>2762762.0522612385</v>
      </c>
      <c r="M181" s="123">
        <f t="shared" si="57"/>
        <v>2872507.1983516882</v>
      </c>
      <c r="N181" s="123">
        <f t="shared" si="57"/>
        <v>2986642.1502857557</v>
      </c>
      <c r="O181" s="123">
        <f t="shared" si="57"/>
        <v>3105342.500297185</v>
      </c>
      <c r="P181" s="123">
        <f t="shared" si="57"/>
        <v>3228790.8643090734</v>
      </c>
      <c r="Q181" s="123">
        <f t="shared" si="57"/>
        <v>3357177.1628814358</v>
      </c>
      <c r="R181" s="123">
        <f t="shared" si="57"/>
        <v>3490698.9133966933</v>
      </c>
      <c r="S181" s="123">
        <f t="shared" si="57"/>
        <v>3629561.5339325611</v>
      </c>
      <c r="T181" s="123">
        <f>SUM(T180)</f>
        <v>3773978.6592898639</v>
      </c>
      <c r="U181" s="123">
        <f t="shared" ref="U181:AJ181" si="58">SUM(U180)</f>
        <v>3924172.4696614584</v>
      </c>
      <c r="V181" s="123">
        <f t="shared" si="58"/>
        <v>4080374.0324479165</v>
      </c>
      <c r="W181" s="123">
        <f t="shared" si="58"/>
        <v>4242823.6577458335</v>
      </c>
      <c r="X181" s="123">
        <f t="shared" si="58"/>
        <v>4411771.2680556662</v>
      </c>
      <c r="Y181" s="123">
        <f t="shared" si="58"/>
        <v>4587476.7827778934</v>
      </c>
      <c r="Z181" s="123">
        <f t="shared" si="58"/>
        <v>4770210.5180890094</v>
      </c>
      <c r="AA181" s="123">
        <f t="shared" si="58"/>
        <v>4960253.6028125705</v>
      </c>
      <c r="AB181" s="123">
        <f t="shared" si="58"/>
        <v>5157898.4109250726</v>
      </c>
      <c r="AC181" s="123">
        <f t="shared" si="58"/>
        <v>5363449.0113620758</v>
      </c>
      <c r="AD181" s="123">
        <f t="shared" si="58"/>
        <v>5577221.6358165592</v>
      </c>
      <c r="AE181" s="123">
        <f t="shared" si="58"/>
        <v>5799545.165249221</v>
      </c>
      <c r="AF181" s="123">
        <f t="shared" si="58"/>
        <v>6030761.6358591896</v>
      </c>
      <c r="AG181" s="123">
        <f t="shared" si="58"/>
        <v>6271226.7652935572</v>
      </c>
      <c r="AH181" s="123">
        <f t="shared" si="58"/>
        <v>6521310.4999052985</v>
      </c>
      <c r="AI181" s="123">
        <f t="shared" si="58"/>
        <v>6781397.5839015106</v>
      </c>
      <c r="AJ181" s="348">
        <f t="shared" si="58"/>
        <v>7051888.1512575718</v>
      </c>
    </row>
    <row r="182" spans="1:44">
      <c r="A182" s="658" t="s">
        <v>227</v>
      </c>
      <c r="B182" s="659"/>
      <c r="C182" s="659"/>
      <c r="D182" s="659"/>
      <c r="E182" s="342"/>
      <c r="F182" s="264"/>
      <c r="G182" s="264"/>
      <c r="H182" s="264"/>
      <c r="I182" s="264"/>
      <c r="J182" s="264"/>
      <c r="K182" s="264"/>
      <c r="L182" s="264"/>
      <c r="M182" s="264"/>
      <c r="N182" s="264"/>
      <c r="O182" s="264"/>
      <c r="P182" s="264"/>
      <c r="Q182" s="264"/>
      <c r="R182" s="264"/>
      <c r="S182" s="264"/>
      <c r="T182" s="264"/>
      <c r="U182" s="264"/>
      <c r="V182" s="264"/>
      <c r="W182" s="264"/>
      <c r="X182" s="264"/>
      <c r="Y182" s="264"/>
      <c r="Z182" s="264"/>
      <c r="AA182" s="264"/>
      <c r="AB182" s="264"/>
      <c r="AC182" s="264"/>
      <c r="AD182" s="264"/>
      <c r="AE182" s="264"/>
      <c r="AF182" s="264"/>
      <c r="AG182" s="264"/>
      <c r="AH182" s="264"/>
      <c r="AI182" s="264"/>
      <c r="AJ182" s="269"/>
    </row>
    <row r="183" spans="1:44">
      <c r="A183" s="436"/>
      <c r="B183" s="404" t="s">
        <v>440</v>
      </c>
      <c r="C183" s="437"/>
      <c r="D183" s="437"/>
      <c r="E183" s="349"/>
      <c r="F183" s="37">
        <f>EGRESOS!$I$71</f>
        <v>1350390.7551915662</v>
      </c>
      <c r="G183" s="37">
        <f>EGRESOS!$I$72</f>
        <v>1403641.0493992288</v>
      </c>
      <c r="H183" s="37">
        <f>EGRESOS!$I$73</f>
        <v>1459021.3553751979</v>
      </c>
      <c r="I183" s="37">
        <f>EGRESOS!$I$74</f>
        <v>1516616.8735902058</v>
      </c>
      <c r="J183" s="37">
        <f>EGRESOS!$I$75</f>
        <v>1576516.2125338139</v>
      </c>
      <c r="K183" s="37">
        <f>EGRESOS!$I$76</f>
        <v>1638811.5250351664</v>
      </c>
      <c r="L183" s="37">
        <f>EGRESOS!$I$77</f>
        <v>1703598.6500365734</v>
      </c>
      <c r="M183" s="37">
        <f>EGRESOS!$I$78</f>
        <v>1770977.2600380362</v>
      </c>
      <c r="N183" s="37">
        <f>EGRESOS!$I$79</f>
        <v>1841051.0144395577</v>
      </c>
      <c r="O183" s="37">
        <f>EGRESOS!$I$80</f>
        <v>1913927.7190171399</v>
      </c>
      <c r="P183" s="37">
        <f>EGRESOS!$I$81</f>
        <v>1989719.4917778252</v>
      </c>
      <c r="Q183" s="37">
        <f>EGRESOS!$I$82</f>
        <v>2068542.9354489385</v>
      </c>
      <c r="R183" s="37">
        <f>EGRESOS!$I$83</f>
        <v>2150519.3168668961</v>
      </c>
      <c r="S183" s="37">
        <f>EGRESOS!$I$84</f>
        <v>2235774.753541572</v>
      </c>
      <c r="T183" s="37">
        <f>EGRESOS!$I$85</f>
        <v>2324440.4076832347</v>
      </c>
      <c r="U183" s="37">
        <f>EGRESOS!$I$86</f>
        <v>2416652.6879905644</v>
      </c>
      <c r="V183" s="37">
        <f>EGRESOS!$I$87</f>
        <v>2512553.4595101872</v>
      </c>
      <c r="W183" s="37">
        <f>EGRESOS!$I$88</f>
        <v>2612290.2618905944</v>
      </c>
      <c r="X183" s="37">
        <f>EGRESOS!$I$89</f>
        <v>2716016.5363662178</v>
      </c>
      <c r="Y183" s="37">
        <f>EGRESOS!$I$90</f>
        <v>2823891.8618208668</v>
      </c>
      <c r="Z183" s="37">
        <f>EGRESOS!$I$91</f>
        <v>2936082.2002937016</v>
      </c>
      <c r="AA183" s="37">
        <f>EGRESOS!$I$92</f>
        <v>3052760.1523054503</v>
      </c>
      <c r="AB183" s="37">
        <f>EGRESOS!$I$93</f>
        <v>3174105.2223976674</v>
      </c>
      <c r="AC183" s="37">
        <f>EGRESOS!$I$94</f>
        <v>3300304.0952935745</v>
      </c>
      <c r="AD183" s="37">
        <f>EGRESOS!$I$95</f>
        <v>3431550.9231053172</v>
      </c>
      <c r="AE183" s="37">
        <f>EGRESOS!$I$96</f>
        <v>3568047.6240295297</v>
      </c>
      <c r="AF183" s="37">
        <f>EGRESOS!$I$97</f>
        <v>3710004.1929907114</v>
      </c>
      <c r="AG183" s="37">
        <f>EGRESOS!$I$98</f>
        <v>3857639.02471034</v>
      </c>
      <c r="AH183" s="37">
        <f>EGRESOS!$I$99</f>
        <v>4011179.2496987535</v>
      </c>
      <c r="AI183" s="37">
        <f>EGRESOS!$I$100</f>
        <v>4170861.0836867029</v>
      </c>
      <c r="AJ183" s="344">
        <f>EGRESOS!$I$101</f>
        <v>4336930.1910341708</v>
      </c>
      <c r="AK183" s="37"/>
    </row>
    <row r="184" spans="1:44">
      <c r="A184" s="363"/>
      <c r="B184" s="365" t="s">
        <v>459</v>
      </c>
      <c r="C184" s="365"/>
      <c r="D184" s="365"/>
      <c r="E184" s="349">
        <v>0</v>
      </c>
      <c r="F184" s="37">
        <f t="shared" ref="F184:AJ184" si="59">F180*$J$171</f>
        <v>21874.629770914802</v>
      </c>
      <c r="G184" s="37">
        <f t="shared" si="59"/>
        <v>22741.961601751391</v>
      </c>
      <c r="H184" s="37">
        <f t="shared" si="59"/>
        <v>23643.986705821451</v>
      </c>
      <c r="I184" s="37">
        <f t="shared" si="59"/>
        <v>24582.092814054307</v>
      </c>
      <c r="J184" s="37">
        <f t="shared" si="59"/>
        <v>25557.723166616484</v>
      </c>
      <c r="K184" s="37">
        <f t="shared" si="59"/>
        <v>26572.378733281141</v>
      </c>
      <c r="L184" s="37">
        <f t="shared" si="59"/>
        <v>27627.620522612386</v>
      </c>
      <c r="M184" s="37">
        <f t="shared" si="59"/>
        <v>28725.071983516882</v>
      </c>
      <c r="N184" s="37">
        <f t="shared" si="59"/>
        <v>29866.421502857556</v>
      </c>
      <c r="O184" s="37">
        <f t="shared" si="59"/>
        <v>31053.42500297185</v>
      </c>
      <c r="P184" s="37">
        <f t="shared" si="59"/>
        <v>32287.908643090734</v>
      </c>
      <c r="Q184" s="37">
        <f t="shared" si="59"/>
        <v>33571.771628814357</v>
      </c>
      <c r="R184" s="37">
        <f t="shared" si="59"/>
        <v>34906.989133966934</v>
      </c>
      <c r="S184" s="37">
        <f t="shared" si="59"/>
        <v>36295.61533932561</v>
      </c>
      <c r="T184" s="37">
        <f t="shared" si="59"/>
        <v>37739.786592898643</v>
      </c>
      <c r="U184" s="37">
        <f t="shared" si="59"/>
        <v>39241.724696614583</v>
      </c>
      <c r="V184" s="37">
        <f t="shared" si="59"/>
        <v>40803.740324479164</v>
      </c>
      <c r="W184" s="37">
        <f t="shared" si="59"/>
        <v>42428.236577458338</v>
      </c>
      <c r="X184" s="37">
        <f t="shared" si="59"/>
        <v>44117.712680556666</v>
      </c>
      <c r="Y184" s="37">
        <f t="shared" si="59"/>
        <v>45874.767827778931</v>
      </c>
      <c r="Z184" s="37">
        <f t="shared" si="59"/>
        <v>47702.105180890096</v>
      </c>
      <c r="AA184" s="37">
        <f t="shared" si="59"/>
        <v>49602.536028125709</v>
      </c>
      <c r="AB184" s="37">
        <f t="shared" si="59"/>
        <v>51578.984109250727</v>
      </c>
      <c r="AC184" s="37">
        <f t="shared" si="59"/>
        <v>53634.490113620763</v>
      </c>
      <c r="AD184" s="37">
        <f t="shared" si="59"/>
        <v>55772.216358165591</v>
      </c>
      <c r="AE184" s="37">
        <f t="shared" si="59"/>
        <v>57995.451652492215</v>
      </c>
      <c r="AF184" s="37">
        <f t="shared" si="59"/>
        <v>60307.616358591898</v>
      </c>
      <c r="AG184" s="37">
        <f t="shared" si="59"/>
        <v>62712.267652935574</v>
      </c>
      <c r="AH184" s="37">
        <f t="shared" si="59"/>
        <v>65213.104999052986</v>
      </c>
      <c r="AI184" s="37">
        <f t="shared" si="59"/>
        <v>67813.975839015111</v>
      </c>
      <c r="AJ184" s="344">
        <f t="shared" si="59"/>
        <v>70518.881512575725</v>
      </c>
    </row>
    <row r="185" spans="1:44">
      <c r="A185" s="363"/>
      <c r="B185" s="365" t="s">
        <v>460</v>
      </c>
      <c r="C185" s="365"/>
      <c r="D185" s="365"/>
      <c r="E185" s="349">
        <v>0</v>
      </c>
      <c r="F185" s="37">
        <f t="shared" ref="F185:AJ185" si="60">F180*$J$172</f>
        <v>21874.629770914802</v>
      </c>
      <c r="G185" s="37">
        <f t="shared" si="60"/>
        <v>22741.961601751391</v>
      </c>
      <c r="H185" s="37">
        <f t="shared" si="60"/>
        <v>23643.986705821451</v>
      </c>
      <c r="I185" s="37">
        <f t="shared" si="60"/>
        <v>24582.092814054307</v>
      </c>
      <c r="J185" s="37">
        <f t="shared" si="60"/>
        <v>25557.723166616484</v>
      </c>
      <c r="K185" s="37">
        <f t="shared" si="60"/>
        <v>26572.378733281141</v>
      </c>
      <c r="L185" s="37">
        <f t="shared" si="60"/>
        <v>27627.620522612386</v>
      </c>
      <c r="M185" s="37">
        <f t="shared" si="60"/>
        <v>28725.071983516882</v>
      </c>
      <c r="N185" s="37">
        <f t="shared" si="60"/>
        <v>29866.421502857556</v>
      </c>
      <c r="O185" s="37">
        <f t="shared" si="60"/>
        <v>31053.42500297185</v>
      </c>
      <c r="P185" s="37">
        <f t="shared" si="60"/>
        <v>32287.908643090734</v>
      </c>
      <c r="Q185" s="37">
        <f t="shared" si="60"/>
        <v>33571.771628814357</v>
      </c>
      <c r="R185" s="37">
        <f t="shared" si="60"/>
        <v>34906.989133966934</v>
      </c>
      <c r="S185" s="37">
        <f t="shared" si="60"/>
        <v>36295.61533932561</v>
      </c>
      <c r="T185" s="37">
        <f t="shared" si="60"/>
        <v>37739.786592898643</v>
      </c>
      <c r="U185" s="37">
        <f t="shared" si="60"/>
        <v>39241.724696614583</v>
      </c>
      <c r="V185" s="37">
        <f t="shared" si="60"/>
        <v>40803.740324479164</v>
      </c>
      <c r="W185" s="37">
        <f t="shared" si="60"/>
        <v>42428.236577458338</v>
      </c>
      <c r="X185" s="37">
        <f t="shared" si="60"/>
        <v>44117.712680556666</v>
      </c>
      <c r="Y185" s="37">
        <f t="shared" si="60"/>
        <v>45874.767827778931</v>
      </c>
      <c r="Z185" s="37">
        <f t="shared" si="60"/>
        <v>47702.105180890096</v>
      </c>
      <c r="AA185" s="37">
        <f t="shared" si="60"/>
        <v>49602.536028125709</v>
      </c>
      <c r="AB185" s="37">
        <f t="shared" si="60"/>
        <v>51578.984109250727</v>
      </c>
      <c r="AC185" s="37">
        <f t="shared" si="60"/>
        <v>53634.490113620763</v>
      </c>
      <c r="AD185" s="37">
        <f t="shared" si="60"/>
        <v>55772.216358165591</v>
      </c>
      <c r="AE185" s="37">
        <f t="shared" si="60"/>
        <v>57995.451652492215</v>
      </c>
      <c r="AF185" s="37">
        <f t="shared" si="60"/>
        <v>60307.616358591898</v>
      </c>
      <c r="AG185" s="37">
        <f t="shared" si="60"/>
        <v>62712.267652935574</v>
      </c>
      <c r="AH185" s="37">
        <f t="shared" si="60"/>
        <v>65213.104999052986</v>
      </c>
      <c r="AI185" s="37">
        <f t="shared" si="60"/>
        <v>67813.975839015111</v>
      </c>
      <c r="AJ185" s="344">
        <f t="shared" si="60"/>
        <v>70518.881512575725</v>
      </c>
    </row>
    <row r="186" spans="1:44">
      <c r="A186" s="363"/>
      <c r="B186" s="365" t="s">
        <v>233</v>
      </c>
      <c r="C186" s="365"/>
      <c r="D186" s="365"/>
      <c r="E186" s="343">
        <f>E171</f>
        <v>5192411.1998804212</v>
      </c>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339"/>
    </row>
    <row r="187" spans="1:44" ht="15.75" thickBot="1">
      <c r="A187" s="660" t="s">
        <v>228</v>
      </c>
      <c r="B187" s="661"/>
      <c r="C187" s="661"/>
      <c r="D187" s="661"/>
      <c r="E187" s="347">
        <f>SUM(E184:E186)</f>
        <v>5192411.1998804212</v>
      </c>
      <c r="F187" s="123">
        <f>SUM(F183:F186)</f>
        <v>1394140.0147333958</v>
      </c>
      <c r="G187" s="123">
        <f t="shared" ref="G187:AJ187" si="61">SUM(G183:G186)</f>
        <v>1449124.9726027315</v>
      </c>
      <c r="H187" s="123">
        <f t="shared" si="61"/>
        <v>1506309.3287868409</v>
      </c>
      <c r="I187" s="123">
        <f t="shared" si="61"/>
        <v>1565781.0592183145</v>
      </c>
      <c r="J187" s="123">
        <f t="shared" si="61"/>
        <v>1627631.6588670467</v>
      </c>
      <c r="K187" s="123">
        <f t="shared" si="61"/>
        <v>1691956.2825017285</v>
      </c>
      <c r="L187" s="123">
        <f t="shared" si="61"/>
        <v>1758853.8910817984</v>
      </c>
      <c r="M187" s="123">
        <f t="shared" si="61"/>
        <v>1828427.40400507</v>
      </c>
      <c r="N187" s="123">
        <f t="shared" si="61"/>
        <v>1900783.8574452726</v>
      </c>
      <c r="O187" s="123">
        <f t="shared" si="61"/>
        <v>1976034.5690230837</v>
      </c>
      <c r="P187" s="123">
        <f t="shared" si="61"/>
        <v>2054295.3090640064</v>
      </c>
      <c r="Q187" s="123">
        <f t="shared" si="61"/>
        <v>2135686.4787065671</v>
      </c>
      <c r="R187" s="123">
        <f t="shared" si="61"/>
        <v>2220333.2951348303</v>
      </c>
      <c r="S187" s="123">
        <f t="shared" si="61"/>
        <v>2308365.9842202235</v>
      </c>
      <c r="T187" s="123">
        <f t="shared" si="61"/>
        <v>2399919.9808690315</v>
      </c>
      <c r="U187" s="123">
        <f t="shared" si="61"/>
        <v>2495136.1373837939</v>
      </c>
      <c r="V187" s="123">
        <f t="shared" si="61"/>
        <v>2594160.9401591453</v>
      </c>
      <c r="W187" s="123">
        <f t="shared" si="61"/>
        <v>2697146.7350455108</v>
      </c>
      <c r="X187" s="123">
        <f t="shared" si="61"/>
        <v>2804251.9617273314</v>
      </c>
      <c r="Y187" s="123">
        <f t="shared" si="61"/>
        <v>2915641.3974764249</v>
      </c>
      <c r="Z187" s="123">
        <f t="shared" si="61"/>
        <v>3031486.4106554822</v>
      </c>
      <c r="AA187" s="123">
        <f t="shared" si="61"/>
        <v>3151965.2243617019</v>
      </c>
      <c r="AB187" s="123">
        <f t="shared" si="61"/>
        <v>3277263.190616169</v>
      </c>
      <c r="AC187" s="123">
        <f t="shared" si="61"/>
        <v>3407573.0755208158</v>
      </c>
      <c r="AD187" s="123">
        <f t="shared" si="61"/>
        <v>3543095.3558216486</v>
      </c>
      <c r="AE187" s="123">
        <f t="shared" si="61"/>
        <v>3684038.5273345145</v>
      </c>
      <c r="AF187" s="123">
        <f t="shared" si="61"/>
        <v>3830619.4257078948</v>
      </c>
      <c r="AG187" s="123">
        <f t="shared" si="61"/>
        <v>3983063.5600162107</v>
      </c>
      <c r="AH187" s="123">
        <f t="shared" si="61"/>
        <v>4141605.4596968591</v>
      </c>
      <c r="AI187" s="123">
        <f t="shared" si="61"/>
        <v>4306489.0353647331</v>
      </c>
      <c r="AJ187" s="348">
        <f t="shared" si="61"/>
        <v>4477967.9540593224</v>
      </c>
    </row>
    <row r="188" spans="1:44" ht="15.75" thickBot="1">
      <c r="A188" s="662" t="s">
        <v>469</v>
      </c>
      <c r="B188" s="663"/>
      <c r="C188" s="663"/>
      <c r="D188" s="664"/>
      <c r="E188" s="353">
        <f>E181-E187</f>
        <v>-5192411.1998804212</v>
      </c>
      <c r="F188" s="354">
        <f>F181-F187</f>
        <v>793322.96235808427</v>
      </c>
      <c r="G188" s="354">
        <f t="shared" ref="G188:Y188" si="62">G181-G187</f>
        <v>825071.18757240754</v>
      </c>
      <c r="H188" s="354">
        <f t="shared" si="62"/>
        <v>858089.34179530409</v>
      </c>
      <c r="I188" s="354">
        <f t="shared" si="62"/>
        <v>892428.22218711628</v>
      </c>
      <c r="J188" s="354">
        <f t="shared" si="62"/>
        <v>928140.65779460175</v>
      </c>
      <c r="K188" s="354">
        <f t="shared" si="62"/>
        <v>965281.59082638542</v>
      </c>
      <c r="L188" s="354">
        <f t="shared" si="62"/>
        <v>1003908.1611794401</v>
      </c>
      <c r="M188" s="354">
        <f t="shared" si="62"/>
        <v>1044079.7943466182</v>
      </c>
      <c r="N188" s="354">
        <f t="shared" si="62"/>
        <v>1085858.2928404831</v>
      </c>
      <c r="O188" s="354">
        <f t="shared" si="62"/>
        <v>1129307.9312741014</v>
      </c>
      <c r="P188" s="354">
        <f t="shared" si="62"/>
        <v>1174495.555245067</v>
      </c>
      <c r="Q188" s="354">
        <f t="shared" si="62"/>
        <v>1221490.6841748687</v>
      </c>
      <c r="R188" s="354">
        <f t="shared" si="62"/>
        <v>1270365.618261863</v>
      </c>
      <c r="S188" s="354">
        <f t="shared" si="62"/>
        <v>1321195.5497123376</v>
      </c>
      <c r="T188" s="354">
        <f t="shared" si="62"/>
        <v>1374058.6784208324</v>
      </c>
      <c r="U188" s="354">
        <f t="shared" si="62"/>
        <v>1429036.3322776644</v>
      </c>
      <c r="V188" s="354">
        <f t="shared" si="62"/>
        <v>1486213.0922887712</v>
      </c>
      <c r="W188" s="354">
        <f t="shared" si="62"/>
        <v>1545676.9227003227</v>
      </c>
      <c r="X188" s="354">
        <f t="shared" si="62"/>
        <v>1607519.3063283348</v>
      </c>
      <c r="Y188" s="354">
        <f t="shared" si="62"/>
        <v>1671835.3853014684</v>
      </c>
      <c r="Z188" s="354">
        <f>Z181-Z187</f>
        <v>1738724.1074335272</v>
      </c>
      <c r="AA188" s="354">
        <f t="shared" ref="AA188:AJ188" si="63">AA181-AA187</f>
        <v>1808288.3784508687</v>
      </c>
      <c r="AB188" s="354">
        <f t="shared" si="63"/>
        <v>1880635.2203089036</v>
      </c>
      <c r="AC188" s="354">
        <f t="shared" si="63"/>
        <v>1955875.93584126</v>
      </c>
      <c r="AD188" s="354">
        <f t="shared" si="63"/>
        <v>2034126.2799949106</v>
      </c>
      <c r="AE188" s="354">
        <f t="shared" si="63"/>
        <v>2115506.6379147065</v>
      </c>
      <c r="AF188" s="354">
        <f t="shared" si="63"/>
        <v>2200142.2101512947</v>
      </c>
      <c r="AG188" s="354">
        <f t="shared" si="63"/>
        <v>2288163.2052773465</v>
      </c>
      <c r="AH188" s="354">
        <f t="shared" si="63"/>
        <v>2379705.0402084393</v>
      </c>
      <c r="AI188" s="354">
        <f t="shared" si="63"/>
        <v>2474908.5485367775</v>
      </c>
      <c r="AJ188" s="355">
        <f t="shared" si="63"/>
        <v>2573920.1971982494</v>
      </c>
    </row>
    <row r="189" spans="1:44">
      <c r="A189" s="369" t="s">
        <v>229</v>
      </c>
      <c r="B189" s="370"/>
      <c r="C189" s="370"/>
      <c r="D189" s="370"/>
      <c r="E189" s="356">
        <f>E188</f>
        <v>-5192411.1998804212</v>
      </c>
      <c r="F189" s="357">
        <f>F188</f>
        <v>793322.96235808427</v>
      </c>
      <c r="G189" s="357">
        <f t="shared" ref="G189:AJ189" si="64">G188</f>
        <v>825071.18757240754</v>
      </c>
      <c r="H189" s="357">
        <f t="shared" si="64"/>
        <v>858089.34179530409</v>
      </c>
      <c r="I189" s="357">
        <f t="shared" si="64"/>
        <v>892428.22218711628</v>
      </c>
      <c r="J189" s="357">
        <f t="shared" si="64"/>
        <v>928140.65779460175</v>
      </c>
      <c r="K189" s="357">
        <f t="shared" si="64"/>
        <v>965281.59082638542</v>
      </c>
      <c r="L189" s="357">
        <f t="shared" si="64"/>
        <v>1003908.1611794401</v>
      </c>
      <c r="M189" s="357">
        <f t="shared" si="64"/>
        <v>1044079.7943466182</v>
      </c>
      <c r="N189" s="357">
        <f t="shared" si="64"/>
        <v>1085858.2928404831</v>
      </c>
      <c r="O189" s="357">
        <f t="shared" si="64"/>
        <v>1129307.9312741014</v>
      </c>
      <c r="P189" s="357">
        <f t="shared" si="64"/>
        <v>1174495.555245067</v>
      </c>
      <c r="Q189" s="357">
        <f t="shared" si="64"/>
        <v>1221490.6841748687</v>
      </c>
      <c r="R189" s="357">
        <f t="shared" si="64"/>
        <v>1270365.618261863</v>
      </c>
      <c r="S189" s="357">
        <f t="shared" si="64"/>
        <v>1321195.5497123376</v>
      </c>
      <c r="T189" s="357">
        <f t="shared" si="64"/>
        <v>1374058.6784208324</v>
      </c>
      <c r="U189" s="357">
        <f t="shared" si="64"/>
        <v>1429036.3322776644</v>
      </c>
      <c r="V189" s="357">
        <f t="shared" si="64"/>
        <v>1486213.0922887712</v>
      </c>
      <c r="W189" s="357">
        <f t="shared" si="64"/>
        <v>1545676.9227003227</v>
      </c>
      <c r="X189" s="357">
        <f t="shared" si="64"/>
        <v>1607519.3063283348</v>
      </c>
      <c r="Y189" s="357">
        <f t="shared" si="64"/>
        <v>1671835.3853014684</v>
      </c>
      <c r="Z189" s="357">
        <f t="shared" si="64"/>
        <v>1738724.1074335272</v>
      </c>
      <c r="AA189" s="357">
        <f t="shared" si="64"/>
        <v>1808288.3784508687</v>
      </c>
      <c r="AB189" s="357">
        <f t="shared" si="64"/>
        <v>1880635.2203089036</v>
      </c>
      <c r="AC189" s="357">
        <f t="shared" si="64"/>
        <v>1955875.93584126</v>
      </c>
      <c r="AD189" s="357">
        <f t="shared" si="64"/>
        <v>2034126.2799949106</v>
      </c>
      <c r="AE189" s="357">
        <f t="shared" si="64"/>
        <v>2115506.6379147065</v>
      </c>
      <c r="AF189" s="357">
        <f t="shared" si="64"/>
        <v>2200142.2101512947</v>
      </c>
      <c r="AG189" s="357">
        <f t="shared" si="64"/>
        <v>2288163.2052773465</v>
      </c>
      <c r="AH189" s="357">
        <f t="shared" si="64"/>
        <v>2379705.0402084393</v>
      </c>
      <c r="AI189" s="357">
        <f t="shared" si="64"/>
        <v>2474908.5485367775</v>
      </c>
      <c r="AJ189" s="358">
        <f t="shared" si="64"/>
        <v>2573920.1971982494</v>
      </c>
    </row>
    <row r="190" spans="1:44">
      <c r="A190" s="363" t="s">
        <v>230</v>
      </c>
      <c r="B190" s="365"/>
      <c r="C190" s="365"/>
      <c r="D190" s="405">
        <v>0.35</v>
      </c>
      <c r="E190" s="349">
        <f>IF(E189&lt;0,0,E189*$D$27)</f>
        <v>0</v>
      </c>
      <c r="F190" s="37">
        <f>F189*$D$27</f>
        <v>277663.03682532947</v>
      </c>
      <c r="G190" s="37">
        <f t="shared" ref="G190" si="65">G189*$D$27</f>
        <v>288774.91565034259</v>
      </c>
      <c r="H190" s="37">
        <f>H189*$D$27</f>
        <v>300331.26962835639</v>
      </c>
      <c r="I190" s="37">
        <f t="shared" ref="I190:AJ190" si="66">I189*$D$27</f>
        <v>312349.87776549067</v>
      </c>
      <c r="J190" s="37">
        <f t="shared" si="66"/>
        <v>324849.23022811057</v>
      </c>
      <c r="K190" s="37">
        <f t="shared" si="66"/>
        <v>337848.55678923486</v>
      </c>
      <c r="L190" s="37">
        <f t="shared" si="66"/>
        <v>351367.85641280399</v>
      </c>
      <c r="M190" s="37">
        <f t="shared" si="66"/>
        <v>365427.92802131636</v>
      </c>
      <c r="N190" s="37">
        <f t="shared" si="66"/>
        <v>380050.40249416907</v>
      </c>
      <c r="O190" s="37">
        <f t="shared" si="66"/>
        <v>395257.77594593546</v>
      </c>
      <c r="P190" s="37">
        <f t="shared" si="66"/>
        <v>411073.44433577341</v>
      </c>
      <c r="Q190" s="37">
        <f t="shared" si="66"/>
        <v>427521.73946120404</v>
      </c>
      <c r="R190" s="37">
        <f t="shared" si="66"/>
        <v>444627.96639165201</v>
      </c>
      <c r="S190" s="37">
        <f t="shared" si="66"/>
        <v>462418.4423993181</v>
      </c>
      <c r="T190" s="37">
        <f t="shared" si="66"/>
        <v>480920.53744729131</v>
      </c>
      <c r="U190" s="37">
        <f t="shared" si="66"/>
        <v>500162.71629718255</v>
      </c>
      <c r="V190" s="37">
        <f t="shared" si="66"/>
        <v>520174.58230106987</v>
      </c>
      <c r="W190" s="37">
        <f t="shared" si="66"/>
        <v>540986.92294511292</v>
      </c>
      <c r="X190" s="37">
        <f t="shared" si="66"/>
        <v>562631.7572149171</v>
      </c>
      <c r="Y190" s="37">
        <f t="shared" si="66"/>
        <v>585142.38485551393</v>
      </c>
      <c r="Z190" s="37">
        <f t="shared" si="66"/>
        <v>608553.43760173453</v>
      </c>
      <c r="AA190" s="37">
        <f t="shared" si="66"/>
        <v>632900.93245780398</v>
      </c>
      <c r="AB190" s="37">
        <f t="shared" si="66"/>
        <v>658222.32710811624</v>
      </c>
      <c r="AC190" s="37">
        <f t="shared" si="66"/>
        <v>684556.57754444098</v>
      </c>
      <c r="AD190" s="37">
        <f t="shared" si="66"/>
        <v>711944.1979982187</v>
      </c>
      <c r="AE190" s="37">
        <f t="shared" si="66"/>
        <v>740427.3232701472</v>
      </c>
      <c r="AF190" s="37">
        <f t="shared" si="66"/>
        <v>770049.77355295315</v>
      </c>
      <c r="AG190" s="37">
        <f t="shared" si="66"/>
        <v>800857.12184707122</v>
      </c>
      <c r="AH190" s="37">
        <f t="shared" si="66"/>
        <v>832896.76407295372</v>
      </c>
      <c r="AI190" s="37">
        <f t="shared" si="66"/>
        <v>866217.99198787205</v>
      </c>
      <c r="AJ190" s="344">
        <f t="shared" si="66"/>
        <v>900872.06901938724</v>
      </c>
    </row>
    <row r="191" spans="1:44" ht="15.75" thickBot="1">
      <c r="A191" s="372" t="s">
        <v>231</v>
      </c>
      <c r="B191" s="367"/>
      <c r="C191" s="367"/>
      <c r="D191" s="367"/>
      <c r="E191" s="34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339"/>
    </row>
    <row r="192" spans="1:44" ht="15.75" thickBot="1">
      <c r="A192" s="660" t="s">
        <v>232</v>
      </c>
      <c r="B192" s="661"/>
      <c r="C192" s="661"/>
      <c r="D192" s="661"/>
      <c r="E192" s="353">
        <f>E188-E190</f>
        <v>-5192411.1998804212</v>
      </c>
      <c r="F192" s="354">
        <f>F188-F190</f>
        <v>515659.9255327548</v>
      </c>
      <c r="G192" s="354">
        <f t="shared" ref="G192:AJ192" si="67">G188-G190</f>
        <v>536296.27192206495</v>
      </c>
      <c r="H192" s="354">
        <f t="shared" si="67"/>
        <v>557758.07216694765</v>
      </c>
      <c r="I192" s="354">
        <f t="shared" si="67"/>
        <v>580078.3444216256</v>
      </c>
      <c r="J192" s="354">
        <f t="shared" si="67"/>
        <v>603291.42756649118</v>
      </c>
      <c r="K192" s="354">
        <f t="shared" si="67"/>
        <v>627433.03403715056</v>
      </c>
      <c r="L192" s="354">
        <f t="shared" si="67"/>
        <v>652540.30476663611</v>
      </c>
      <c r="M192" s="354">
        <f t="shared" si="67"/>
        <v>678651.86632530182</v>
      </c>
      <c r="N192" s="354">
        <f t="shared" si="67"/>
        <v>705807.89034631406</v>
      </c>
      <c r="O192" s="354">
        <f t="shared" si="67"/>
        <v>734050.15532816597</v>
      </c>
      <c r="P192" s="354">
        <f t="shared" si="67"/>
        <v>763422.11090929364</v>
      </c>
      <c r="Q192" s="354">
        <f t="shared" si="67"/>
        <v>793968.94471366471</v>
      </c>
      <c r="R192" s="354">
        <f t="shared" si="67"/>
        <v>825737.651870211</v>
      </c>
      <c r="S192" s="354">
        <f t="shared" si="67"/>
        <v>858777.10731301946</v>
      </c>
      <c r="T192" s="354">
        <f t="shared" si="67"/>
        <v>893138.14097354107</v>
      </c>
      <c r="U192" s="354">
        <f t="shared" si="67"/>
        <v>928873.61598048196</v>
      </c>
      <c r="V192" s="354">
        <f t="shared" si="67"/>
        <v>966038.50998770131</v>
      </c>
      <c r="W192" s="354">
        <f t="shared" si="67"/>
        <v>1004689.9997552098</v>
      </c>
      <c r="X192" s="354">
        <f t="shared" si="67"/>
        <v>1044887.5491134177</v>
      </c>
      <c r="Y192" s="354">
        <f t="shared" si="67"/>
        <v>1086693.0004459545</v>
      </c>
      <c r="Z192" s="354">
        <f t="shared" si="67"/>
        <v>1130170.6698317928</v>
      </c>
      <c r="AA192" s="354">
        <f t="shared" si="67"/>
        <v>1175387.4459930647</v>
      </c>
      <c r="AB192" s="354">
        <f t="shared" si="67"/>
        <v>1222412.8932007872</v>
      </c>
      <c r="AC192" s="354">
        <f t="shared" si="67"/>
        <v>1271319.358296819</v>
      </c>
      <c r="AD192" s="354">
        <f t="shared" si="67"/>
        <v>1322182.0819966919</v>
      </c>
      <c r="AE192" s="354">
        <f t="shared" si="67"/>
        <v>1375079.3146445593</v>
      </c>
      <c r="AF192" s="354">
        <f t="shared" si="67"/>
        <v>1430092.4365983414</v>
      </c>
      <c r="AG192" s="354">
        <f t="shared" si="67"/>
        <v>1487306.0834302753</v>
      </c>
      <c r="AH192" s="354">
        <f t="shared" si="67"/>
        <v>1546808.2761354856</v>
      </c>
      <c r="AI192" s="354">
        <f t="shared" si="67"/>
        <v>1608690.5565489056</v>
      </c>
      <c r="AJ192" s="355">
        <f t="shared" si="67"/>
        <v>1673048.1281788622</v>
      </c>
    </row>
    <row r="193" spans="1:36" ht="15.75" thickBot="1">
      <c r="A193" s="667" t="s">
        <v>467</v>
      </c>
      <c r="B193" s="668"/>
      <c r="C193" s="668"/>
      <c r="D193" s="668"/>
      <c r="E193" s="350">
        <f>E192</f>
        <v>-5192411.1998804212</v>
      </c>
      <c r="F193" s="351">
        <f>+F192+E192</f>
        <v>-4676751.2743476667</v>
      </c>
      <c r="G193" s="351">
        <f t="shared" ref="G193:AJ193" si="68">G192+F193</f>
        <v>-4140455.0024256017</v>
      </c>
      <c r="H193" s="351">
        <f t="shared" si="68"/>
        <v>-3582696.9302586541</v>
      </c>
      <c r="I193" s="351">
        <f t="shared" si="68"/>
        <v>-3002618.5858370285</v>
      </c>
      <c r="J193" s="351">
        <f t="shared" si="68"/>
        <v>-2399327.1582705374</v>
      </c>
      <c r="K193" s="351">
        <f t="shared" si="68"/>
        <v>-1771894.1242333869</v>
      </c>
      <c r="L193" s="351">
        <f t="shared" si="68"/>
        <v>-1119353.8194667508</v>
      </c>
      <c r="M193" s="351">
        <f t="shared" si="68"/>
        <v>-440701.95314144902</v>
      </c>
      <c r="N193" s="351">
        <f t="shared" si="68"/>
        <v>265105.93720486504</v>
      </c>
      <c r="O193" s="351">
        <f t="shared" si="68"/>
        <v>999156.09253303101</v>
      </c>
      <c r="P193" s="351">
        <f t="shared" si="68"/>
        <v>1762578.2034423247</v>
      </c>
      <c r="Q193" s="351">
        <f t="shared" si="68"/>
        <v>2556547.1481559891</v>
      </c>
      <c r="R193" s="351">
        <f t="shared" si="68"/>
        <v>3382284.8000262002</v>
      </c>
      <c r="S193" s="351">
        <f t="shared" si="68"/>
        <v>4241061.9073392199</v>
      </c>
      <c r="T193" s="351">
        <f t="shared" si="68"/>
        <v>5134200.0483127609</v>
      </c>
      <c r="U193" s="351">
        <f t="shared" si="68"/>
        <v>6063073.6642932426</v>
      </c>
      <c r="V193" s="351">
        <f t="shared" si="68"/>
        <v>7029112.1742809443</v>
      </c>
      <c r="W193" s="351">
        <f t="shared" si="68"/>
        <v>8033802.1740361545</v>
      </c>
      <c r="X193" s="351">
        <f t="shared" si="68"/>
        <v>9078689.7231495716</v>
      </c>
      <c r="Y193" s="351">
        <f t="shared" si="68"/>
        <v>10165382.723595526</v>
      </c>
      <c r="Z193" s="351">
        <f t="shared" si="68"/>
        <v>11295553.39342732</v>
      </c>
      <c r="AA193" s="351">
        <f t="shared" si="68"/>
        <v>12470940.839420384</v>
      </c>
      <c r="AB193" s="351">
        <f t="shared" si="68"/>
        <v>13693353.732621171</v>
      </c>
      <c r="AC193" s="351">
        <f t="shared" si="68"/>
        <v>14964673.09091799</v>
      </c>
      <c r="AD193" s="351">
        <f t="shared" si="68"/>
        <v>16286855.172914682</v>
      </c>
      <c r="AE193" s="351">
        <f t="shared" si="68"/>
        <v>17661934.48755924</v>
      </c>
      <c r="AF193" s="351">
        <f t="shared" si="68"/>
        <v>19092026.924157582</v>
      </c>
      <c r="AG193" s="351">
        <f t="shared" si="68"/>
        <v>20579333.007587858</v>
      </c>
      <c r="AH193" s="351">
        <f t="shared" si="68"/>
        <v>22126141.283723343</v>
      </c>
      <c r="AI193" s="351">
        <f t="shared" si="68"/>
        <v>23734831.840272248</v>
      </c>
      <c r="AJ193" s="352">
        <f t="shared" si="68"/>
        <v>25407879.968451109</v>
      </c>
    </row>
    <row r="194" spans="1:36" hidden="1">
      <c r="E194" s="125" t="s">
        <v>237</v>
      </c>
      <c r="F194" s="406">
        <v>0.16</v>
      </c>
      <c r="G194" s="407">
        <f>+NPV(F194,F192:AJ192)+E192</f>
        <v>-1040333.4920010357</v>
      </c>
      <c r="H194" s="128" t="s">
        <v>392</v>
      </c>
    </row>
    <row r="195" spans="1:36" hidden="1">
      <c r="E195" s="125" t="s">
        <v>238</v>
      </c>
      <c r="F195" s="126"/>
      <c r="G195" s="127">
        <f>+IRR(E192:AJ192)</f>
        <v>0.13218359540583849</v>
      </c>
      <c r="H195" s="128"/>
    </row>
    <row r="196" spans="1:36" ht="15.75" hidden="1" thickBot="1">
      <c r="E196" s="665" t="s">
        <v>239</v>
      </c>
      <c r="F196" s="666"/>
      <c r="G196" s="644" t="str">
        <f>+COUNTIF(F199:AJ200,1)&amp;" años y "&amp;ROUND(SUM(F200:Y200),0)&amp;" días"</f>
        <v>8 años y 228 días</v>
      </c>
      <c r="H196" s="645"/>
    </row>
    <row r="197" spans="1:36">
      <c r="E197" s="233"/>
      <c r="F197" s="233"/>
      <c r="G197" s="217"/>
      <c r="H197" s="217"/>
    </row>
    <row r="198" spans="1:36" hidden="1"/>
    <row r="199" spans="1:36" hidden="1">
      <c r="A199" s="234"/>
      <c r="B199" s="235"/>
      <c r="C199" s="234"/>
      <c r="D199" s="234"/>
      <c r="E199" s="234"/>
      <c r="F199" s="234">
        <f t="shared" ref="F199:AJ199" si="69">+IF(F193&lt;0,1,(-365*E193/F192))</f>
        <v>1</v>
      </c>
      <c r="G199" s="234">
        <f t="shared" si="69"/>
        <v>1</v>
      </c>
      <c r="H199" s="234">
        <f t="shared" si="69"/>
        <v>1</v>
      </c>
      <c r="I199" s="234">
        <f t="shared" si="69"/>
        <v>1</v>
      </c>
      <c r="J199" s="234">
        <f t="shared" si="69"/>
        <v>1</v>
      </c>
      <c r="K199" s="234">
        <f t="shared" si="69"/>
        <v>1</v>
      </c>
      <c r="L199" s="234">
        <f t="shared" si="69"/>
        <v>1</v>
      </c>
      <c r="M199" s="234">
        <f t="shared" si="69"/>
        <v>1</v>
      </c>
      <c r="N199" s="234">
        <f t="shared" si="69"/>
        <v>227.90367619396071</v>
      </c>
      <c r="O199" s="234">
        <f t="shared" si="69"/>
        <v>-131.82160153145989</v>
      </c>
      <c r="P199" s="234">
        <f t="shared" si="69"/>
        <v>-477.7068525565503</v>
      </c>
      <c r="Q199" s="234">
        <f t="shared" si="69"/>
        <v>-810.28489658176954</v>
      </c>
      <c r="R199" s="234">
        <f t="shared" si="69"/>
        <v>-1130.0680148997328</v>
      </c>
      <c r="S199" s="234">
        <f t="shared" si="69"/>
        <v>-1437.5487440183736</v>
      </c>
      <c r="T199" s="234">
        <f t="shared" si="69"/>
        <v>-1733.2006384717524</v>
      </c>
      <c r="U199" s="234">
        <f t="shared" si="69"/>
        <v>-2017.4790040258124</v>
      </c>
      <c r="V199" s="234">
        <f t="shared" si="69"/>
        <v>-2290.8216024381964</v>
      </c>
      <c r="W199" s="234">
        <f t="shared" si="69"/>
        <v>-2553.6493288851816</v>
      </c>
      <c r="X199" s="234">
        <f t="shared" si="69"/>
        <v>-2806.3668631244304</v>
      </c>
      <c r="Y199" s="234">
        <f t="shared" si="69"/>
        <v>-3049.3632954198806</v>
      </c>
      <c r="Z199" s="234">
        <f t="shared" si="69"/>
        <v>-3283.0127282143976</v>
      </c>
      <c r="AA199" s="234">
        <f t="shared" si="69"/>
        <v>-3507.6748544967008</v>
      </c>
      <c r="AB199" s="234">
        <f t="shared" si="69"/>
        <v>-3723.6955137716873</v>
      </c>
      <c r="AC199" s="234">
        <f t="shared" si="69"/>
        <v>-3931.4072265072914</v>
      </c>
      <c r="AD199" s="234">
        <f t="shared" si="69"/>
        <v>-4131.1297078965654</v>
      </c>
      <c r="AE199" s="234">
        <f t="shared" si="69"/>
        <v>-4323.1703617405446</v>
      </c>
      <c r="AF199" s="234">
        <f t="shared" si="69"/>
        <v>-4507.8247552257553</v>
      </c>
      <c r="AG199" s="234">
        <f t="shared" si="69"/>
        <v>-4685.3770753397202</v>
      </c>
      <c r="AH199" s="234">
        <f t="shared" si="69"/>
        <v>-4856.1005676385694</v>
      </c>
      <c r="AI199" s="234">
        <f t="shared" si="69"/>
        <v>-5020.2579580527936</v>
      </c>
      <c r="AJ199" s="234">
        <f t="shared" si="69"/>
        <v>-5178.1018583902951</v>
      </c>
    </row>
    <row r="200" spans="1:36" ht="15.75" hidden="1" thickBot="1">
      <c r="A200" s="236"/>
      <c r="B200" s="237"/>
      <c r="C200" s="236"/>
      <c r="D200" s="236"/>
      <c r="E200" s="236"/>
      <c r="F200" s="236">
        <f>+IF(F199&gt;0,IF(F199&lt;&gt;1,F199,0),0)</f>
        <v>0</v>
      </c>
      <c r="G200" s="236">
        <f t="shared" ref="G200:N200" si="70">+IF(G199&gt;0,IF(G199&lt;&gt;1,G199,0),0)</f>
        <v>0</v>
      </c>
      <c r="H200" s="236">
        <f t="shared" si="70"/>
        <v>0</v>
      </c>
      <c r="I200" s="236">
        <f t="shared" si="70"/>
        <v>0</v>
      </c>
      <c r="J200" s="236">
        <f t="shared" si="70"/>
        <v>0</v>
      </c>
      <c r="K200" s="236">
        <f t="shared" si="70"/>
        <v>0</v>
      </c>
      <c r="L200" s="236">
        <f t="shared" si="70"/>
        <v>0</v>
      </c>
      <c r="M200" s="236">
        <f t="shared" si="70"/>
        <v>0</v>
      </c>
      <c r="N200" s="236">
        <f t="shared" si="70"/>
        <v>227.90367619396071</v>
      </c>
      <c r="O200" s="236">
        <f>+IF(O199&gt;0,IF(O199&lt;&gt;1,O199,0),0)</f>
        <v>0</v>
      </c>
      <c r="P200" s="236">
        <f>+IF(P199&gt;0,IF(P199&gt;1,P199,0),0)</f>
        <v>0</v>
      </c>
      <c r="Q200" s="236">
        <f t="shared" ref="Q200:AJ200" si="71">+IF(Q199&gt;0,IF(Q199&lt;&gt;1,Q199,0),0)</f>
        <v>0</v>
      </c>
      <c r="R200" s="236">
        <f t="shared" si="71"/>
        <v>0</v>
      </c>
      <c r="S200" s="236">
        <f t="shared" si="71"/>
        <v>0</v>
      </c>
      <c r="T200" s="236">
        <f t="shared" si="71"/>
        <v>0</v>
      </c>
      <c r="U200" s="236">
        <f t="shared" si="71"/>
        <v>0</v>
      </c>
      <c r="V200" s="236">
        <f t="shared" si="71"/>
        <v>0</v>
      </c>
      <c r="W200" s="236">
        <f t="shared" si="71"/>
        <v>0</v>
      </c>
      <c r="X200" s="236">
        <f t="shared" si="71"/>
        <v>0</v>
      </c>
      <c r="Y200" s="236">
        <f t="shared" si="71"/>
        <v>0</v>
      </c>
      <c r="Z200" s="236">
        <f t="shared" si="71"/>
        <v>0</v>
      </c>
      <c r="AA200" s="236">
        <f t="shared" si="71"/>
        <v>0</v>
      </c>
      <c r="AB200" s="236">
        <f t="shared" si="71"/>
        <v>0</v>
      </c>
      <c r="AC200" s="236">
        <f t="shared" si="71"/>
        <v>0</v>
      </c>
      <c r="AD200" s="236">
        <f t="shared" si="71"/>
        <v>0</v>
      </c>
      <c r="AE200" s="236">
        <f t="shared" si="71"/>
        <v>0</v>
      </c>
      <c r="AF200" s="236">
        <f t="shared" si="71"/>
        <v>0</v>
      </c>
      <c r="AG200" s="236">
        <f t="shared" si="71"/>
        <v>0</v>
      </c>
      <c r="AH200" s="236">
        <f t="shared" si="71"/>
        <v>0</v>
      </c>
      <c r="AI200" s="236">
        <f t="shared" si="71"/>
        <v>0</v>
      </c>
      <c r="AJ200" s="236">
        <f t="shared" si="71"/>
        <v>0</v>
      </c>
    </row>
    <row r="201" spans="1:36" hidden="1">
      <c r="A201" s="238"/>
      <c r="B201" s="239"/>
      <c r="C201" s="238"/>
      <c r="D201" s="238"/>
      <c r="E201" s="240"/>
      <c r="F201" s="238"/>
      <c r="G201" s="238"/>
      <c r="H201" s="238"/>
      <c r="I201" s="238"/>
      <c r="J201" s="238"/>
      <c r="K201" s="238"/>
      <c r="L201" s="238"/>
      <c r="M201" s="238"/>
      <c r="N201" s="238"/>
      <c r="O201" s="238"/>
      <c r="P201" s="238"/>
      <c r="Q201" s="238"/>
      <c r="R201" s="238"/>
      <c r="S201" s="238"/>
      <c r="T201" s="238"/>
      <c r="U201" s="238"/>
      <c r="V201" s="238"/>
      <c r="W201" s="238"/>
      <c r="X201" s="238"/>
      <c r="Y201" s="238"/>
      <c r="Z201" s="238"/>
      <c r="AA201" s="238"/>
      <c r="AB201" s="238"/>
      <c r="AC201" s="238"/>
      <c r="AD201" s="238"/>
      <c r="AE201" s="238"/>
      <c r="AF201" s="238"/>
      <c r="AG201" s="238"/>
      <c r="AH201" s="238"/>
      <c r="AI201" s="238"/>
      <c r="AJ201" s="238"/>
    </row>
    <row r="202" spans="1:36" hidden="1">
      <c r="A202" s="238"/>
      <c r="B202" s="239"/>
      <c r="C202" s="238"/>
      <c r="D202" s="238"/>
      <c r="E202" s="241"/>
      <c r="F202" s="238"/>
      <c r="G202" s="238"/>
      <c r="H202" s="238"/>
      <c r="I202" s="238"/>
      <c r="J202" s="238"/>
      <c r="K202" s="238"/>
      <c r="L202" s="238"/>
      <c r="M202" s="238"/>
      <c r="N202" s="238"/>
      <c r="O202" s="238"/>
      <c r="P202" s="238"/>
      <c r="Q202" s="238"/>
      <c r="R202" s="238"/>
      <c r="S202" s="238"/>
      <c r="T202" s="238"/>
      <c r="U202" s="238"/>
      <c r="V202" s="238"/>
      <c r="W202" s="238"/>
      <c r="X202" s="238"/>
      <c r="Y202" s="238"/>
      <c r="Z202" s="238"/>
      <c r="AA202" s="238"/>
      <c r="AB202" s="238"/>
      <c r="AC202" s="238"/>
      <c r="AD202" s="238"/>
      <c r="AE202" s="238"/>
      <c r="AF202" s="238"/>
      <c r="AG202" s="238"/>
      <c r="AH202" s="238"/>
      <c r="AI202" s="238"/>
      <c r="AJ202" s="238"/>
    </row>
    <row r="203" spans="1:36" hidden="1">
      <c r="A203" s="238"/>
      <c r="B203" s="239" t="s">
        <v>411</v>
      </c>
      <c r="C203" s="238"/>
      <c r="D203" s="238"/>
      <c r="E203" s="238"/>
      <c r="F203" s="238"/>
      <c r="G203" s="238"/>
      <c r="H203" s="238"/>
      <c r="I203" s="238"/>
      <c r="J203" s="238"/>
      <c r="K203" s="238"/>
      <c r="L203" s="238"/>
      <c r="M203" s="238"/>
      <c r="N203" s="238"/>
      <c r="O203" s="238"/>
      <c r="P203" s="238"/>
      <c r="Q203" s="238"/>
      <c r="R203" s="238"/>
      <c r="S203" s="238"/>
      <c r="T203" s="238"/>
      <c r="U203" s="238"/>
      <c r="V203" s="238"/>
      <c r="W203" s="238"/>
      <c r="X203" s="238"/>
      <c r="Y203" s="238"/>
      <c r="Z203" s="238"/>
      <c r="AA203" s="238"/>
      <c r="AB203" s="238"/>
      <c r="AC203" s="238"/>
      <c r="AD203" s="238"/>
      <c r="AE203" s="238"/>
      <c r="AF203" s="238"/>
      <c r="AG203" s="238"/>
      <c r="AH203" s="238"/>
      <c r="AI203" s="238"/>
      <c r="AJ203" s="238"/>
    </row>
    <row r="204" spans="1:36" ht="15.75" hidden="1" thickBot="1">
      <c r="A204" s="242"/>
      <c r="B204" s="243" t="s">
        <v>412</v>
      </c>
      <c r="C204" s="244"/>
      <c r="D204" s="244"/>
      <c r="E204" s="124">
        <f>+E192/(1+$F$31)^E178</f>
        <v>-5192411.1998804212</v>
      </c>
      <c r="F204" s="124">
        <f>+F192/(1+$F$31)^F178</f>
        <v>444534.41856271971</v>
      </c>
      <c r="G204" s="124">
        <f t="shared" ref="G204:S204" si="72">+G192/(1+$F$31)^G178</f>
        <v>398555.49340224807</v>
      </c>
      <c r="H204" s="124">
        <f t="shared" si="72"/>
        <v>357331.98891338543</v>
      </c>
      <c r="I204" s="124">
        <f t="shared" si="72"/>
        <v>320372.10569730779</v>
      </c>
      <c r="J204" s="124">
        <f t="shared" si="72"/>
        <v>287234.900752221</v>
      </c>
      <c r="K204" s="124">
        <f t="shared" si="72"/>
        <v>257525.02914302555</v>
      </c>
      <c r="L204" s="124">
        <f t="shared" si="72"/>
        <v>230888.02926705245</v>
      </c>
      <c r="M204" s="124">
        <f t="shared" si="72"/>
        <v>207006.09553270409</v>
      </c>
      <c r="N204" s="124">
        <f t="shared" si="72"/>
        <v>185594.28807287186</v>
      </c>
      <c r="O204" s="124">
        <f t="shared" si="72"/>
        <v>166397.13432047522</v>
      </c>
      <c r="P204" s="124">
        <f t="shared" si="72"/>
        <v>149185.58194127996</v>
      </c>
      <c r="Q204" s="124">
        <f t="shared" si="72"/>
        <v>133754.26680480846</v>
      </c>
      <c r="R204" s="124">
        <f t="shared" si="72"/>
        <v>119919.06342744325</v>
      </c>
      <c r="S204" s="124">
        <f t="shared" si="72"/>
        <v>107514.88868735208</v>
      </c>
      <c r="T204" s="124">
        <f>+T192/(1+$F$31)^T178</f>
        <v>96393.732628722602</v>
      </c>
      <c r="U204" s="124">
        <f t="shared" ref="U204:AJ204" si="73">+U192/(1+$F$31)^U178</f>
        <v>86422.892878836778</v>
      </c>
      <c r="V204" s="124">
        <f t="shared" si="73"/>
        <v>77483.391627978563</v>
      </c>
      <c r="W204" s="124">
        <f t="shared" si="73"/>
        <v>69468.556297902978</v>
      </c>
      <c r="X204" s="124">
        <f t="shared" si="73"/>
        <v>62282.746975520095</v>
      </c>
      <c r="Y204" s="124">
        <f t="shared" si="73"/>
        <v>55840.21543776137</v>
      </c>
      <c r="Z204" s="124">
        <f t="shared" si="73"/>
        <v>50064.082162141487</v>
      </c>
      <c r="AA204" s="124">
        <f t="shared" si="73"/>
        <v>44885.419123974287</v>
      </c>
      <c r="AB204" s="124">
        <f t="shared" si="73"/>
        <v>40242.427442290136</v>
      </c>
      <c r="AC204" s="124">
        <f t="shared" si="73"/>
        <v>36079.700067257822</v>
      </c>
      <c r="AD204" s="124">
        <f t="shared" si="73"/>
        <v>32347.560715797539</v>
      </c>
      <c r="AE204" s="124">
        <f t="shared" si="73"/>
        <v>29001.471171161673</v>
      </c>
      <c r="AF204" s="124">
        <f t="shared" si="73"/>
        <v>26001.499877383725</v>
      </c>
      <c r="AG204" s="124">
        <f t="shared" si="73"/>
        <v>23311.845490363201</v>
      </c>
      <c r="AH204" s="124">
        <f t="shared" si="73"/>
        <v>20900.409702672699</v>
      </c>
      <c r="AI204" s="124">
        <f t="shared" si="73"/>
        <v>18738.414246750122</v>
      </c>
      <c r="AJ204" s="124">
        <f t="shared" si="73"/>
        <v>16800.057507974052</v>
      </c>
    </row>
    <row r="205" spans="1:36" ht="15.75" hidden="1" thickBot="1">
      <c r="A205" s="236"/>
      <c r="B205" s="237"/>
      <c r="C205" s="236"/>
      <c r="D205" s="236"/>
      <c r="E205" s="236"/>
      <c r="F205" s="236"/>
      <c r="G205" s="236"/>
      <c r="H205" s="236"/>
      <c r="I205" s="236"/>
      <c r="J205" s="236"/>
      <c r="K205" s="236"/>
      <c r="L205" s="236"/>
      <c r="M205" s="236"/>
      <c r="N205" s="236"/>
      <c r="O205" s="236"/>
      <c r="P205" s="236"/>
      <c r="Q205" s="236"/>
      <c r="R205" s="236"/>
      <c r="S205" s="236"/>
      <c r="T205" s="236"/>
      <c r="U205" s="236"/>
      <c r="V205" s="236"/>
      <c r="W205" s="236"/>
      <c r="X205" s="236"/>
      <c r="Y205" s="236"/>
      <c r="Z205" s="236"/>
      <c r="AA205" s="236"/>
      <c r="AB205" s="236"/>
      <c r="AC205" s="236"/>
      <c r="AD205" s="236"/>
      <c r="AE205" s="236"/>
      <c r="AF205" s="236"/>
      <c r="AG205" s="236"/>
      <c r="AH205" s="236"/>
      <c r="AI205" s="236"/>
      <c r="AJ205" s="236"/>
    </row>
    <row r="206" spans="1:36" hidden="1"/>
    <row r="208" spans="1:36" ht="18.75">
      <c r="A208" s="313" t="s">
        <v>218</v>
      </c>
      <c r="B208" s="314"/>
      <c r="C208" s="314"/>
      <c r="D208" s="314"/>
      <c r="E208" s="314"/>
      <c r="F208" s="314"/>
      <c r="G208" s="314"/>
      <c r="H208" s="641" t="s">
        <v>470</v>
      </c>
      <c r="I208" s="641"/>
      <c r="J208" s="641"/>
    </row>
    <row r="209" spans="1:36" ht="9.75" customHeight="1"/>
    <row r="210" spans="1:36" ht="15.75">
      <c r="A210" s="245" t="s">
        <v>413</v>
      </c>
      <c r="B210" s="219"/>
      <c r="C210" s="219"/>
      <c r="D210" s="246"/>
      <c r="E210" s="246"/>
      <c r="F210" s="246"/>
      <c r="G210" s="246"/>
      <c r="H210" s="246"/>
      <c r="I210" s="246"/>
      <c r="J210" s="246"/>
      <c r="K210" s="246"/>
      <c r="L210" s="246"/>
      <c r="M210" s="246"/>
      <c r="N210" s="246"/>
      <c r="O210" s="246"/>
      <c r="P210" s="246"/>
      <c r="Q210" s="246"/>
      <c r="R210" s="246"/>
      <c r="S210" s="246"/>
      <c r="T210" s="14"/>
      <c r="U210" s="14"/>
      <c r="V210" s="14"/>
    </row>
    <row r="211" spans="1:36" ht="9.75" customHeight="1">
      <c r="A211" s="218"/>
      <c r="B211" s="218"/>
      <c r="C211" s="218"/>
      <c r="D211" s="221"/>
      <c r="E211" s="221"/>
      <c r="F211" s="221"/>
      <c r="G211" s="221"/>
      <c r="H211" s="221"/>
      <c r="I211" s="221"/>
      <c r="J211" s="221"/>
      <c r="K211" s="221"/>
      <c r="L211" s="221"/>
      <c r="M211" s="221"/>
      <c r="N211" s="221"/>
      <c r="O211" s="221"/>
      <c r="P211" s="221"/>
      <c r="Q211" s="221"/>
      <c r="R211" s="221"/>
      <c r="S211" s="221"/>
      <c r="T211" s="14"/>
      <c r="U211" s="14"/>
      <c r="V211" s="14"/>
    </row>
    <row r="212" spans="1:36">
      <c r="A212" s="219" t="s">
        <v>394</v>
      </c>
      <c r="B212" s="218"/>
      <c r="C212" s="218"/>
      <c r="D212" s="220"/>
      <c r="E212" s="221"/>
      <c r="F212" s="220"/>
      <c r="G212" s="221"/>
      <c r="H212" s="221"/>
      <c r="I212" s="222"/>
      <c r="J212" s="223"/>
      <c r="K212" s="221"/>
      <c r="L212" s="221"/>
      <c r="M212" s="221"/>
      <c r="N212" s="221"/>
      <c r="O212" s="221"/>
      <c r="P212" s="221"/>
      <c r="Q212" s="221"/>
      <c r="R212" s="221"/>
      <c r="S212" s="221"/>
      <c r="T212" s="14"/>
      <c r="U212" s="14"/>
      <c r="V212" s="14"/>
    </row>
    <row r="213" spans="1:36" ht="18.75" customHeight="1">
      <c r="A213" s="218"/>
      <c r="B213" s="218" t="s">
        <v>240</v>
      </c>
      <c r="C213" s="224" t="s">
        <v>392</v>
      </c>
      <c r="D213" s="225">
        <f>'PRESTAMO BANCARIO'!F21</f>
        <v>4153928.9599043373</v>
      </c>
      <c r="E213" s="218"/>
      <c r="F213" s="224" t="s">
        <v>395</v>
      </c>
      <c r="G213" s="224" t="s">
        <v>392</v>
      </c>
      <c r="H213" s="226">
        <f>'PRESTAMO BANCARIO'!E18*(20%)</f>
        <v>1038482.2399760843</v>
      </c>
      <c r="I213" s="222"/>
      <c r="J213" s="227"/>
      <c r="K213" s="221"/>
      <c r="L213" s="221"/>
      <c r="M213" s="221"/>
      <c r="O213" s="314"/>
      <c r="P213" s="314"/>
      <c r="Q213" s="314"/>
      <c r="R213" s="314"/>
      <c r="S213" s="314"/>
      <c r="T213" s="314"/>
    </row>
    <row r="214" spans="1:36">
      <c r="A214" s="218"/>
      <c r="B214" s="218" t="s">
        <v>396</v>
      </c>
      <c r="C214" s="218"/>
      <c r="D214" s="225" t="s">
        <v>397</v>
      </c>
      <c r="E214" s="218"/>
      <c r="F214" s="228"/>
      <c r="G214" s="221"/>
      <c r="H214" s="221"/>
      <c r="I214" s="222"/>
      <c r="J214" s="227"/>
      <c r="K214" s="221"/>
      <c r="L214" s="221"/>
      <c r="M214" s="221"/>
    </row>
    <row r="215" spans="1:36" ht="18.75">
      <c r="A215" s="218"/>
      <c r="B215" s="218" t="s">
        <v>398</v>
      </c>
      <c r="C215" s="218"/>
      <c r="D215" s="229">
        <v>0.16</v>
      </c>
      <c r="E215" s="218"/>
      <c r="F215" s="228"/>
      <c r="G215" s="221"/>
      <c r="H215" s="221"/>
      <c r="I215" s="222"/>
      <c r="J215" s="227"/>
      <c r="K215" s="221"/>
      <c r="L215" s="221"/>
      <c r="M215" s="221"/>
      <c r="N215" s="313"/>
      <c r="O215" s="219"/>
      <c r="P215" s="219"/>
      <c r="Q215" s="246"/>
      <c r="R215" s="246"/>
      <c r="S215" s="246"/>
      <c r="T215" s="246"/>
      <c r="U215" s="641"/>
      <c r="V215" s="641"/>
      <c r="W215" s="641"/>
      <c r="Y215" s="313"/>
      <c r="Z215" s="219"/>
      <c r="AA215" s="246"/>
      <c r="AB215" s="246"/>
      <c r="AC215" s="246"/>
      <c r="AD215" s="246"/>
      <c r="AE215" s="641"/>
      <c r="AF215" s="641"/>
      <c r="AG215" s="641"/>
    </row>
    <row r="216" spans="1:36" ht="15.75">
      <c r="A216" s="218"/>
      <c r="B216" s="218" t="s">
        <v>399</v>
      </c>
      <c r="C216" s="218"/>
      <c r="D216" s="230">
        <v>2</v>
      </c>
      <c r="E216" s="218"/>
      <c r="F216" s="221"/>
      <c r="G216" s="221"/>
      <c r="H216" s="221"/>
      <c r="I216" s="218"/>
      <c r="J216" s="218"/>
      <c r="K216" s="221"/>
      <c r="L216" s="221"/>
      <c r="M216" s="221"/>
      <c r="N216" s="245"/>
      <c r="O216" s="221"/>
      <c r="P216" s="221"/>
      <c r="Q216" s="221"/>
      <c r="R216" s="221"/>
      <c r="S216" s="221"/>
      <c r="T216" s="14"/>
      <c r="U216" s="14"/>
      <c r="V216" s="14"/>
      <c r="Y216" s="245"/>
      <c r="Z216" s="221"/>
      <c r="AA216" s="221"/>
      <c r="AB216" s="221"/>
      <c r="AC216" s="221"/>
      <c r="AD216" s="14"/>
      <c r="AE216" s="14"/>
      <c r="AF216" s="14"/>
    </row>
    <row r="217" spans="1:36" ht="15.75" thickBot="1">
      <c r="A217" s="218"/>
      <c r="B217" s="218"/>
      <c r="C217" s="218"/>
      <c r="D217" s="230"/>
      <c r="E217" s="218"/>
      <c r="F217" s="221"/>
      <c r="G217" s="221"/>
      <c r="H217" s="221"/>
      <c r="I217" s="218"/>
      <c r="J217" s="218"/>
      <c r="K217" s="221"/>
      <c r="L217" s="221"/>
      <c r="M217" s="221"/>
      <c r="N217" s="221"/>
      <c r="O217" s="221"/>
      <c r="P217" s="221"/>
      <c r="Q217" s="221"/>
      <c r="R217" s="221"/>
      <c r="S217" s="221"/>
      <c r="T217" s="14"/>
      <c r="U217" s="14"/>
      <c r="V217" s="14"/>
    </row>
    <row r="218" spans="1:36" ht="15.75" thickBot="1">
      <c r="A218" s="646" t="s">
        <v>79</v>
      </c>
      <c r="B218" s="647"/>
      <c r="C218" s="647"/>
      <c r="D218" s="647"/>
      <c r="E218" s="439">
        <v>0</v>
      </c>
      <c r="F218" s="440">
        <v>1</v>
      </c>
      <c r="G218" s="440">
        <v>2</v>
      </c>
      <c r="H218" s="440">
        <v>3</v>
      </c>
      <c r="I218" s="440">
        <v>4</v>
      </c>
      <c r="J218" s="440">
        <v>5</v>
      </c>
      <c r="K218" s="440">
        <v>6</v>
      </c>
      <c r="L218" s="440">
        <v>7</v>
      </c>
      <c r="M218" s="440">
        <v>8</v>
      </c>
      <c r="N218" s="440">
        <v>9</v>
      </c>
      <c r="O218" s="440">
        <v>10</v>
      </c>
      <c r="P218" s="440">
        <v>11</v>
      </c>
      <c r="Q218" s="440">
        <v>12</v>
      </c>
      <c r="R218" s="440">
        <v>13</v>
      </c>
      <c r="S218" s="440">
        <v>14</v>
      </c>
      <c r="T218" s="440">
        <v>15</v>
      </c>
      <c r="U218" s="440">
        <v>16</v>
      </c>
      <c r="V218" s="440">
        <v>17</v>
      </c>
      <c r="W218" s="440">
        <v>18</v>
      </c>
      <c r="X218" s="440">
        <v>19</v>
      </c>
      <c r="Y218" s="440">
        <v>20</v>
      </c>
      <c r="Z218" s="440">
        <v>21</v>
      </c>
      <c r="AA218" s="440">
        <v>22</v>
      </c>
      <c r="AB218" s="440">
        <v>23</v>
      </c>
      <c r="AC218" s="440">
        <v>24</v>
      </c>
      <c r="AD218" s="440">
        <v>25</v>
      </c>
      <c r="AE218" s="440">
        <v>26</v>
      </c>
      <c r="AF218" s="440">
        <v>27</v>
      </c>
      <c r="AG218" s="440">
        <v>28</v>
      </c>
      <c r="AH218" s="440">
        <v>29</v>
      </c>
      <c r="AI218" s="440">
        <v>30</v>
      </c>
      <c r="AJ218" s="441">
        <v>31</v>
      </c>
    </row>
    <row r="219" spans="1:36">
      <c r="A219" s="383"/>
      <c r="B219" s="384" t="s">
        <v>400</v>
      </c>
      <c r="C219" s="384"/>
      <c r="D219" s="385"/>
      <c r="E219" s="248">
        <f>D213</f>
        <v>4153928.9599043373</v>
      </c>
      <c r="F219" s="248"/>
      <c r="G219" s="248"/>
      <c r="H219" s="248"/>
      <c r="I219" s="248"/>
      <c r="J219" s="248"/>
      <c r="K219" s="248"/>
      <c r="L219" s="248"/>
      <c r="M219" s="248"/>
      <c r="N219" s="248"/>
      <c r="O219" s="248"/>
      <c r="P219" s="248"/>
      <c r="Q219" s="248"/>
      <c r="R219" s="248"/>
      <c r="S219" s="248"/>
      <c r="T219" s="268"/>
      <c r="U219" s="268"/>
      <c r="V219" s="268"/>
      <c r="W219" s="264"/>
      <c r="X219" s="264"/>
      <c r="Y219" s="264"/>
      <c r="Z219" s="264"/>
      <c r="AA219" s="264"/>
      <c r="AB219" s="264"/>
      <c r="AC219" s="264"/>
      <c r="AD219" s="264"/>
      <c r="AE219" s="264"/>
      <c r="AF219" s="264"/>
      <c r="AG219" s="264"/>
      <c r="AH219" s="264"/>
      <c r="AI219" s="264"/>
      <c r="AJ219" s="269"/>
    </row>
    <row r="220" spans="1:36">
      <c r="A220" s="374"/>
      <c r="B220" s="375" t="s">
        <v>401</v>
      </c>
      <c r="C220" s="375"/>
      <c r="D220" s="376"/>
      <c r="E220" s="226">
        <v>0</v>
      </c>
      <c r="F220" s="226">
        <f>'PRESTAMO BANCARIO'!E236</f>
        <v>0</v>
      </c>
      <c r="G220" s="226">
        <f>'PRESTAMO BANCARIO'!F28</f>
        <v>0</v>
      </c>
      <c r="H220" s="226">
        <f>'PRESTAMO BANCARIO'!G28</f>
        <v>415392.89599043375</v>
      </c>
      <c r="I220" s="226">
        <f>'PRESTAMO BANCARIO'!H28</f>
        <v>415392.89599043375</v>
      </c>
      <c r="J220" s="226">
        <f>'PRESTAMO BANCARIO'!I28</f>
        <v>415392.89599043375</v>
      </c>
      <c r="K220" s="226">
        <f>'PRESTAMO BANCARIO'!J28</f>
        <v>415392.89599043375</v>
      </c>
      <c r="L220" s="226">
        <f>'PRESTAMO BANCARIO'!K28</f>
        <v>415392.89599043375</v>
      </c>
      <c r="M220" s="226">
        <f>'PRESTAMO BANCARIO'!L28</f>
        <v>415392.89599043375</v>
      </c>
      <c r="N220" s="226">
        <f>'PRESTAMO BANCARIO'!M28</f>
        <v>415392.89599043375</v>
      </c>
      <c r="O220" s="226">
        <f>'PRESTAMO BANCARIO'!N28</f>
        <v>415392.89599043375</v>
      </c>
      <c r="P220" s="226">
        <f>'PRESTAMO BANCARIO'!O28</f>
        <v>415392.89599043375</v>
      </c>
      <c r="Q220" s="226">
        <f>'PRESTAMO BANCARIO'!P28</f>
        <v>415392.89599043375</v>
      </c>
      <c r="R220" s="226">
        <f>'PRESTAMO BANCARIO'!Q28</f>
        <v>0</v>
      </c>
      <c r="S220" s="226">
        <f>'PRESTAMO BANCARIO'!R28</f>
        <v>0</v>
      </c>
      <c r="T220" s="226">
        <f>'PRESTAMO BANCARIO'!S28</f>
        <v>0</v>
      </c>
      <c r="U220" s="226">
        <f>'PRESTAMO BANCARIO'!T28</f>
        <v>0</v>
      </c>
      <c r="V220" s="226">
        <f>'PRESTAMO BANCARIO'!U28</f>
        <v>0</v>
      </c>
      <c r="W220" s="226">
        <f>'PRESTAMO BANCARIO'!V28</f>
        <v>0</v>
      </c>
      <c r="X220" s="226">
        <f>'PRESTAMO BANCARIO'!W28</f>
        <v>0</v>
      </c>
      <c r="Y220" s="226">
        <f>'PRESTAMO BANCARIO'!X28</f>
        <v>0</v>
      </c>
      <c r="Z220" s="226">
        <f>'PRESTAMO BANCARIO'!Y28</f>
        <v>0</v>
      </c>
      <c r="AA220" s="226">
        <f>'PRESTAMO BANCARIO'!Z28</f>
        <v>0</v>
      </c>
      <c r="AB220" s="226">
        <f>'PRESTAMO BANCARIO'!AA28</f>
        <v>0</v>
      </c>
      <c r="AC220" s="226">
        <f>'PRESTAMO BANCARIO'!AB28</f>
        <v>0</v>
      </c>
      <c r="AD220" s="226">
        <f>'PRESTAMO BANCARIO'!AC28</f>
        <v>0</v>
      </c>
      <c r="AE220" s="226">
        <f>'PRESTAMO BANCARIO'!AD28</f>
        <v>0</v>
      </c>
      <c r="AF220" s="226">
        <f>'PRESTAMO BANCARIO'!AE28</f>
        <v>0</v>
      </c>
      <c r="AG220" s="226">
        <f>'PRESTAMO BANCARIO'!AF28</f>
        <v>0</v>
      </c>
      <c r="AH220" s="226">
        <f>'PRESTAMO BANCARIO'!AG28</f>
        <v>0</v>
      </c>
      <c r="AI220" s="226">
        <f>'PRESTAMO BANCARIO'!AH28</f>
        <v>0</v>
      </c>
      <c r="AJ220" s="250">
        <f>'PRESTAMO BANCARIO'!AI28</f>
        <v>0</v>
      </c>
    </row>
    <row r="221" spans="1:36" ht="15.75" thickBot="1">
      <c r="A221" s="387"/>
      <c r="B221" s="388" t="s">
        <v>414</v>
      </c>
      <c r="C221" s="388"/>
      <c r="D221" s="379"/>
      <c r="E221" s="226">
        <v>0</v>
      </c>
      <c r="F221" s="226">
        <f>'PRESTAMO BANCARIO'!E29</f>
        <v>602262.79604969174</v>
      </c>
      <c r="G221" s="226">
        <f>'PRESTAMO BANCARIO'!F29</f>
        <v>602262.79604969174</v>
      </c>
      <c r="H221" s="226">
        <f>'PRESTAMO BANCARIO'!G29</f>
        <v>587206.22614844947</v>
      </c>
      <c r="I221" s="226">
        <f>'PRESTAMO BANCARIO'!H29</f>
        <v>526979.94654348027</v>
      </c>
      <c r="J221" s="226">
        <f>'PRESTAMO BANCARIO'!I29</f>
        <v>466753.66693851096</v>
      </c>
      <c r="K221" s="226">
        <f>'PRESTAMO BANCARIO'!J29</f>
        <v>406527.38733354176</v>
      </c>
      <c r="L221" s="226">
        <f>'PRESTAMO BANCARIO'!K29</f>
        <v>346301.10772857256</v>
      </c>
      <c r="M221" s="226">
        <f>'PRESTAMO BANCARIO'!L29</f>
        <v>286074.82812360337</v>
      </c>
      <c r="N221" s="226">
        <f>'PRESTAMO BANCARIO'!M29</f>
        <v>225848.5485186342</v>
      </c>
      <c r="O221" s="226">
        <f>'PRESTAMO BANCARIO'!N29</f>
        <v>165622.26891366503</v>
      </c>
      <c r="P221" s="226">
        <f>'PRESTAMO BANCARIO'!O29</f>
        <v>105395.98930869586</v>
      </c>
      <c r="Q221" s="226">
        <f>'PRESTAMO BANCARIO'!P29</f>
        <v>45169.709703726694</v>
      </c>
      <c r="R221" s="226">
        <f>'PRESTAMO BANCARIO'!Q29</f>
        <v>-1.9410420974639994E-10</v>
      </c>
      <c r="S221" s="226">
        <f>'PRESTAMO BANCARIO'!R29</f>
        <v>-1.9410420974639994E-10</v>
      </c>
      <c r="T221" s="226">
        <f>'PRESTAMO BANCARIO'!S29</f>
        <v>-1.9410420974639994E-10</v>
      </c>
      <c r="U221" s="226">
        <f>'PRESTAMO BANCARIO'!T29</f>
        <v>-1.9410420974639994E-10</v>
      </c>
      <c r="V221" s="226">
        <f>'PRESTAMO BANCARIO'!U29</f>
        <v>-1.9410420974639994E-10</v>
      </c>
      <c r="W221" s="226">
        <f>'PRESTAMO BANCARIO'!V29</f>
        <v>-1.9410420974639994E-10</v>
      </c>
      <c r="X221" s="226">
        <f>'PRESTAMO BANCARIO'!W29</f>
        <v>-1.9410420974639994E-10</v>
      </c>
      <c r="Y221" s="226">
        <f>'PRESTAMO BANCARIO'!X29</f>
        <v>-1.9410420974639994E-10</v>
      </c>
      <c r="Z221" s="226">
        <f>'PRESTAMO BANCARIO'!Y29</f>
        <v>-1.9410420974639994E-10</v>
      </c>
      <c r="AA221" s="226">
        <f>'PRESTAMO BANCARIO'!Z29</f>
        <v>0</v>
      </c>
      <c r="AB221" s="226">
        <f>'PRESTAMO BANCARIO'!AA29</f>
        <v>0</v>
      </c>
      <c r="AC221" s="226">
        <f>'PRESTAMO BANCARIO'!AB29</f>
        <v>0</v>
      </c>
      <c r="AD221" s="226">
        <f>'PRESTAMO BANCARIO'!AC29</f>
        <v>0</v>
      </c>
      <c r="AE221" s="226">
        <f>'PRESTAMO BANCARIO'!AD29</f>
        <v>0</v>
      </c>
      <c r="AF221" s="226">
        <f>'PRESTAMO BANCARIO'!AE29</f>
        <v>0</v>
      </c>
      <c r="AG221" s="226">
        <f>'PRESTAMO BANCARIO'!AF29</f>
        <v>0</v>
      </c>
      <c r="AH221" s="226">
        <f>'PRESTAMO BANCARIO'!AG29</f>
        <v>0</v>
      </c>
      <c r="AI221" s="226">
        <f>'PRESTAMO BANCARIO'!AH29</f>
        <v>0</v>
      </c>
      <c r="AJ221" s="250">
        <f>'PRESTAMO BANCARIO'!AI29</f>
        <v>0</v>
      </c>
    </row>
    <row r="222" spans="1:36" ht="15.75" thickBot="1">
      <c r="A222" s="377" t="s">
        <v>402</v>
      </c>
      <c r="B222" s="378"/>
      <c r="C222" s="378"/>
      <c r="D222" s="367"/>
      <c r="E222" s="410">
        <f>+E219-E220-E221</f>
        <v>4153928.9599043373</v>
      </c>
      <c r="F222" s="399">
        <f>+F219-F220-F221</f>
        <v>-602262.79604969174</v>
      </c>
      <c r="G222" s="399">
        <f t="shared" ref="G222:H222" si="74">+G219-G220-G221</f>
        <v>-602262.79604969174</v>
      </c>
      <c r="H222" s="399">
        <f t="shared" si="74"/>
        <v>-1002599.1221388832</v>
      </c>
      <c r="I222" s="399">
        <f>+I219-I220-I221</f>
        <v>-942372.84253391402</v>
      </c>
      <c r="J222" s="399">
        <f t="shared" ref="J222:AJ222" si="75">+J219-J220-J221</f>
        <v>-882146.56292894471</v>
      </c>
      <c r="K222" s="399">
        <f t="shared" si="75"/>
        <v>-821920.28332397551</v>
      </c>
      <c r="L222" s="399">
        <f t="shared" si="75"/>
        <v>-761694.00371900632</v>
      </c>
      <c r="M222" s="399">
        <f t="shared" si="75"/>
        <v>-701467.72411403712</v>
      </c>
      <c r="N222" s="399">
        <f t="shared" si="75"/>
        <v>-641241.44450906792</v>
      </c>
      <c r="O222" s="399">
        <f t="shared" si="75"/>
        <v>-581015.16490409872</v>
      </c>
      <c r="P222" s="399">
        <f t="shared" si="75"/>
        <v>-520788.88529912964</v>
      </c>
      <c r="Q222" s="399">
        <f t="shared" si="75"/>
        <v>-460562.60569416045</v>
      </c>
      <c r="R222" s="399">
        <f t="shared" si="75"/>
        <v>1.9410420974639994E-10</v>
      </c>
      <c r="S222" s="399">
        <f t="shared" si="75"/>
        <v>1.9410420974639994E-10</v>
      </c>
      <c r="T222" s="399">
        <f t="shared" si="75"/>
        <v>1.9410420974639994E-10</v>
      </c>
      <c r="U222" s="399">
        <f t="shared" si="75"/>
        <v>1.9410420974639994E-10</v>
      </c>
      <c r="V222" s="399">
        <f t="shared" si="75"/>
        <v>1.9410420974639994E-10</v>
      </c>
      <c r="W222" s="399">
        <f t="shared" si="75"/>
        <v>1.9410420974639994E-10</v>
      </c>
      <c r="X222" s="399">
        <f t="shared" si="75"/>
        <v>1.9410420974639994E-10</v>
      </c>
      <c r="Y222" s="399">
        <f t="shared" si="75"/>
        <v>1.9410420974639994E-10</v>
      </c>
      <c r="Z222" s="399">
        <f t="shared" si="75"/>
        <v>1.9410420974639994E-10</v>
      </c>
      <c r="AA222" s="399">
        <f t="shared" si="75"/>
        <v>0</v>
      </c>
      <c r="AB222" s="399">
        <f t="shared" si="75"/>
        <v>0</v>
      </c>
      <c r="AC222" s="399">
        <f t="shared" si="75"/>
        <v>0</v>
      </c>
      <c r="AD222" s="399">
        <f t="shared" si="75"/>
        <v>0</v>
      </c>
      <c r="AE222" s="399">
        <f t="shared" si="75"/>
        <v>0</v>
      </c>
      <c r="AF222" s="399">
        <f t="shared" si="75"/>
        <v>0</v>
      </c>
      <c r="AG222" s="399">
        <f t="shared" si="75"/>
        <v>0</v>
      </c>
      <c r="AH222" s="399">
        <f t="shared" si="75"/>
        <v>0</v>
      </c>
      <c r="AI222" s="399">
        <f t="shared" si="75"/>
        <v>0</v>
      </c>
      <c r="AJ222" s="400">
        <f t="shared" si="75"/>
        <v>0</v>
      </c>
    </row>
    <row r="223" spans="1:36" ht="15.75" thickBot="1">
      <c r="A223" s="380" t="s">
        <v>403</v>
      </c>
      <c r="B223" s="381"/>
      <c r="C223" s="381"/>
      <c r="D223" s="396"/>
      <c r="E223" s="410">
        <f>E188+E222</f>
        <v>-1038482.2399760839</v>
      </c>
      <c r="F223" s="399">
        <f>F188+F222</f>
        <v>191060.16630839254</v>
      </c>
      <c r="G223" s="399">
        <f>G188+G222</f>
        <v>222808.3915227158</v>
      </c>
      <c r="H223" s="399">
        <f>H188+H222</f>
        <v>-144509.78034357913</v>
      </c>
      <c r="I223" s="399">
        <f t="shared" ref="I223:J223" si="76">I188+I222</f>
        <v>-49944.620346797747</v>
      </c>
      <c r="J223" s="399">
        <f t="shared" si="76"/>
        <v>45994.09486565704</v>
      </c>
      <c r="K223" s="399">
        <f>K188+K222</f>
        <v>143361.30750240991</v>
      </c>
      <c r="L223" s="399">
        <f t="shared" ref="L223:M223" si="77">L188+L222</f>
        <v>242214.15746043378</v>
      </c>
      <c r="M223" s="399">
        <f t="shared" si="77"/>
        <v>342612.07023258111</v>
      </c>
      <c r="N223" s="399">
        <f>N188+N222</f>
        <v>444616.84833141521</v>
      </c>
      <c r="O223" s="399">
        <f t="shared" ref="O223:P223" si="78">O188+O222</f>
        <v>548292.76637000265</v>
      </c>
      <c r="P223" s="399">
        <f t="shared" si="78"/>
        <v>653706.66994593735</v>
      </c>
      <c r="Q223" s="399">
        <f>Q188+Q222</f>
        <v>760928.0784807083</v>
      </c>
      <c r="R223" s="399">
        <f t="shared" ref="R223" si="79">R188+R222</f>
        <v>1270365.6182618632</v>
      </c>
      <c r="S223" s="399">
        <f>S188+S222</f>
        <v>1321195.5497123378</v>
      </c>
      <c r="T223" s="399">
        <f t="shared" ref="T223:AJ223" si="80">T188+T222</f>
        <v>1374058.6784208326</v>
      </c>
      <c r="U223" s="399">
        <f t="shared" si="80"/>
        <v>1429036.3322776647</v>
      </c>
      <c r="V223" s="399">
        <f t="shared" si="80"/>
        <v>1486213.0922887714</v>
      </c>
      <c r="W223" s="399">
        <f t="shared" si="80"/>
        <v>1545676.9227003229</v>
      </c>
      <c r="X223" s="399">
        <f t="shared" si="80"/>
        <v>1607519.3063283351</v>
      </c>
      <c r="Y223" s="399">
        <f t="shared" si="80"/>
        <v>1671835.3853014687</v>
      </c>
      <c r="Z223" s="399">
        <f t="shared" si="80"/>
        <v>1738724.1074335275</v>
      </c>
      <c r="AA223" s="399">
        <f t="shared" si="80"/>
        <v>1808288.3784508687</v>
      </c>
      <c r="AB223" s="399">
        <f t="shared" si="80"/>
        <v>1880635.2203089036</v>
      </c>
      <c r="AC223" s="399">
        <f t="shared" si="80"/>
        <v>1955875.93584126</v>
      </c>
      <c r="AD223" s="399">
        <f t="shared" si="80"/>
        <v>2034126.2799949106</v>
      </c>
      <c r="AE223" s="399">
        <f t="shared" si="80"/>
        <v>2115506.6379147065</v>
      </c>
      <c r="AF223" s="399">
        <f t="shared" si="80"/>
        <v>2200142.2101512947</v>
      </c>
      <c r="AG223" s="399">
        <f t="shared" si="80"/>
        <v>2288163.2052773465</v>
      </c>
      <c r="AH223" s="399">
        <f t="shared" si="80"/>
        <v>2379705.0402084393</v>
      </c>
      <c r="AI223" s="399">
        <f t="shared" si="80"/>
        <v>2474908.5485367775</v>
      </c>
      <c r="AJ223" s="400">
        <f t="shared" si="80"/>
        <v>2573920.1971982494</v>
      </c>
    </row>
    <row r="224" spans="1:36">
      <c r="A224" s="383" t="s">
        <v>404</v>
      </c>
      <c r="B224" s="384"/>
      <c r="C224" s="384"/>
      <c r="D224" s="370"/>
      <c r="E224" s="391">
        <f>E189-E221</f>
        <v>-5192411.1998804212</v>
      </c>
      <c r="F224" s="248">
        <f>F189-F221</f>
        <v>191060.16630839254</v>
      </c>
      <c r="G224" s="248">
        <f>G189-G221</f>
        <v>222808.3915227158</v>
      </c>
      <c r="H224" s="248">
        <f>H189-H221</f>
        <v>270883.11564685463</v>
      </c>
      <c r="I224" s="248">
        <f>I189-I221</f>
        <v>365448.27564363601</v>
      </c>
      <c r="J224" s="248">
        <f t="shared" ref="J224:AJ224" si="81">J189-J221</f>
        <v>461386.99085609079</v>
      </c>
      <c r="K224" s="248">
        <f t="shared" si="81"/>
        <v>558754.20349284366</v>
      </c>
      <c r="L224" s="248">
        <f t="shared" si="81"/>
        <v>657607.05345086753</v>
      </c>
      <c r="M224" s="248">
        <f t="shared" si="81"/>
        <v>758004.96622301487</v>
      </c>
      <c r="N224" s="248">
        <f t="shared" si="81"/>
        <v>860009.74432184896</v>
      </c>
      <c r="O224" s="248">
        <f t="shared" si="81"/>
        <v>963685.66236043628</v>
      </c>
      <c r="P224" s="248">
        <f t="shared" si="81"/>
        <v>1069099.5659363712</v>
      </c>
      <c r="Q224" s="248">
        <f t="shared" si="81"/>
        <v>1176320.974471142</v>
      </c>
      <c r="R224" s="248">
        <f t="shared" si="81"/>
        <v>1270365.6182618632</v>
      </c>
      <c r="S224" s="248">
        <f t="shared" si="81"/>
        <v>1321195.5497123378</v>
      </c>
      <c r="T224" s="248">
        <f t="shared" si="81"/>
        <v>1374058.6784208326</v>
      </c>
      <c r="U224" s="248">
        <f t="shared" si="81"/>
        <v>1429036.3322776647</v>
      </c>
      <c r="V224" s="248">
        <f t="shared" si="81"/>
        <v>1486213.0922887714</v>
      </c>
      <c r="W224" s="248">
        <f t="shared" si="81"/>
        <v>1545676.9227003229</v>
      </c>
      <c r="X224" s="248">
        <f t="shared" si="81"/>
        <v>1607519.3063283351</v>
      </c>
      <c r="Y224" s="248">
        <f t="shared" si="81"/>
        <v>1671835.3853014687</v>
      </c>
      <c r="Z224" s="248">
        <f t="shared" si="81"/>
        <v>1738724.1074335275</v>
      </c>
      <c r="AA224" s="248">
        <f t="shared" si="81"/>
        <v>1808288.3784508687</v>
      </c>
      <c r="AB224" s="248">
        <f t="shared" si="81"/>
        <v>1880635.2203089036</v>
      </c>
      <c r="AC224" s="248">
        <f t="shared" si="81"/>
        <v>1955875.93584126</v>
      </c>
      <c r="AD224" s="248">
        <f t="shared" si="81"/>
        <v>2034126.2799949106</v>
      </c>
      <c r="AE224" s="248">
        <f t="shared" si="81"/>
        <v>2115506.6379147065</v>
      </c>
      <c r="AF224" s="248">
        <f t="shared" si="81"/>
        <v>2200142.2101512947</v>
      </c>
      <c r="AG224" s="248">
        <f t="shared" si="81"/>
        <v>2288163.2052773465</v>
      </c>
      <c r="AH224" s="248">
        <f t="shared" si="81"/>
        <v>2379705.0402084393</v>
      </c>
      <c r="AI224" s="248">
        <f t="shared" si="81"/>
        <v>2474908.5485367775</v>
      </c>
      <c r="AJ224" s="249">
        <f t="shared" si="81"/>
        <v>2573920.1971982494</v>
      </c>
    </row>
    <row r="225" spans="1:36">
      <c r="A225" s="374" t="s">
        <v>405</v>
      </c>
      <c r="B225" s="375"/>
      <c r="C225" s="386">
        <v>0.35</v>
      </c>
      <c r="D225" s="365"/>
      <c r="E225" s="392">
        <f>IF(E224&lt;0,0,E224*$C225)</f>
        <v>0</v>
      </c>
      <c r="F225" s="226">
        <f t="shared" ref="F225:AJ225" si="82">IF(F224&lt;0,0,F224*$C225)</f>
        <v>66871.058207937385</v>
      </c>
      <c r="G225" s="226">
        <f t="shared" si="82"/>
        <v>77982.937032950518</v>
      </c>
      <c r="H225" s="226">
        <f t="shared" si="82"/>
        <v>94809.090476399113</v>
      </c>
      <c r="I225" s="226">
        <f t="shared" si="82"/>
        <v>127906.89647527259</v>
      </c>
      <c r="J225" s="226">
        <f t="shared" si="82"/>
        <v>161485.44679963175</v>
      </c>
      <c r="K225" s="226">
        <f t="shared" si="82"/>
        <v>195563.97122249528</v>
      </c>
      <c r="L225" s="226">
        <f t="shared" si="82"/>
        <v>230162.46870780361</v>
      </c>
      <c r="M225" s="226">
        <f t="shared" si="82"/>
        <v>265301.73817805521</v>
      </c>
      <c r="N225" s="226">
        <f t="shared" si="82"/>
        <v>301003.41051264713</v>
      </c>
      <c r="O225" s="226">
        <f t="shared" si="82"/>
        <v>337289.98182615265</v>
      </c>
      <c r="P225" s="226">
        <f t="shared" si="82"/>
        <v>374184.84807772993</v>
      </c>
      <c r="Q225" s="226">
        <f t="shared" si="82"/>
        <v>411712.34106489969</v>
      </c>
      <c r="R225" s="226">
        <f t="shared" si="82"/>
        <v>444627.96639165212</v>
      </c>
      <c r="S225" s="226">
        <f t="shared" si="82"/>
        <v>462418.44239931821</v>
      </c>
      <c r="T225" s="226">
        <f t="shared" si="82"/>
        <v>480920.53744729137</v>
      </c>
      <c r="U225" s="226">
        <f t="shared" si="82"/>
        <v>500162.7162971826</v>
      </c>
      <c r="V225" s="226">
        <f t="shared" si="82"/>
        <v>520174.58230106998</v>
      </c>
      <c r="W225" s="226">
        <f t="shared" si="82"/>
        <v>540986.92294511304</v>
      </c>
      <c r="X225" s="226">
        <f t="shared" si="82"/>
        <v>562631.75721491722</v>
      </c>
      <c r="Y225" s="226">
        <f t="shared" si="82"/>
        <v>585142.38485551404</v>
      </c>
      <c r="Z225" s="226">
        <f t="shared" si="82"/>
        <v>608553.43760173453</v>
      </c>
      <c r="AA225" s="226">
        <f t="shared" si="82"/>
        <v>632900.93245780398</v>
      </c>
      <c r="AB225" s="226">
        <f t="shared" si="82"/>
        <v>658222.32710811624</v>
      </c>
      <c r="AC225" s="226">
        <f t="shared" si="82"/>
        <v>684556.57754444098</v>
      </c>
      <c r="AD225" s="226">
        <f t="shared" si="82"/>
        <v>711944.1979982187</v>
      </c>
      <c r="AE225" s="226">
        <f t="shared" si="82"/>
        <v>740427.3232701472</v>
      </c>
      <c r="AF225" s="226">
        <f t="shared" si="82"/>
        <v>770049.77355295315</v>
      </c>
      <c r="AG225" s="226">
        <f t="shared" si="82"/>
        <v>800857.12184707122</v>
      </c>
      <c r="AH225" s="226">
        <f t="shared" si="82"/>
        <v>832896.76407295372</v>
      </c>
      <c r="AI225" s="226">
        <f t="shared" si="82"/>
        <v>866217.99198787205</v>
      </c>
      <c r="AJ225" s="250">
        <f t="shared" si="82"/>
        <v>900872.06901938724</v>
      </c>
    </row>
    <row r="226" spans="1:36" ht="15.75" thickBot="1">
      <c r="A226" s="387" t="s">
        <v>406</v>
      </c>
      <c r="B226" s="388"/>
      <c r="C226" s="388"/>
      <c r="D226" s="367"/>
      <c r="E226" s="392"/>
      <c r="F226" s="226"/>
      <c r="G226" s="226"/>
      <c r="H226" s="226"/>
      <c r="I226" s="226"/>
      <c r="J226" s="226"/>
      <c r="K226" s="226"/>
      <c r="L226" s="226"/>
      <c r="M226" s="226"/>
      <c r="N226" s="226"/>
      <c r="O226" s="226"/>
      <c r="P226" s="226"/>
      <c r="Q226" s="226"/>
      <c r="R226" s="226"/>
      <c r="S226" s="226"/>
      <c r="T226" s="10"/>
      <c r="U226" s="10"/>
      <c r="V226" s="10"/>
      <c r="W226" s="9"/>
      <c r="X226" s="9"/>
      <c r="Y226" s="9"/>
      <c r="Z226" s="9"/>
      <c r="AA226" s="9"/>
      <c r="AB226" s="9"/>
      <c r="AC226" s="9"/>
      <c r="AD226" s="9"/>
      <c r="AE226" s="9"/>
      <c r="AF226" s="9"/>
      <c r="AG226" s="9"/>
      <c r="AH226" s="9"/>
      <c r="AI226" s="9"/>
      <c r="AJ226" s="339"/>
    </row>
    <row r="227" spans="1:36" s="96" customFormat="1" ht="15.75" thickBot="1">
      <c r="A227" s="380" t="s">
        <v>407</v>
      </c>
      <c r="B227" s="389"/>
      <c r="C227" s="389"/>
      <c r="D227" s="414"/>
      <c r="E227" s="410">
        <f>+E223+E226-E225</f>
        <v>-1038482.2399760839</v>
      </c>
      <c r="F227" s="399">
        <f t="shared" ref="F227:M227" si="83">+F223+F226-F225</f>
        <v>124189.10810045515</v>
      </c>
      <c r="G227" s="399">
        <f t="shared" si="83"/>
        <v>144825.45448976528</v>
      </c>
      <c r="H227" s="399">
        <f t="shared" si="83"/>
        <v>-239318.87081997824</v>
      </c>
      <c r="I227" s="399">
        <f t="shared" si="83"/>
        <v>-177851.51682207035</v>
      </c>
      <c r="J227" s="399">
        <f t="shared" si="83"/>
        <v>-115491.35193397471</v>
      </c>
      <c r="K227" s="399">
        <f t="shared" si="83"/>
        <v>-52202.663720085373</v>
      </c>
      <c r="L227" s="399">
        <f t="shared" si="83"/>
        <v>12051.688752630173</v>
      </c>
      <c r="M227" s="399">
        <f t="shared" si="83"/>
        <v>77310.332054525905</v>
      </c>
      <c r="N227" s="399">
        <f>+N223+N226-N225</f>
        <v>143613.43781876808</v>
      </c>
      <c r="O227" s="399">
        <f t="shared" ref="O227:AJ227" si="84">+O223+O226-O225</f>
        <v>211002.78454384999</v>
      </c>
      <c r="P227" s="399">
        <f t="shared" si="84"/>
        <v>279521.82186820742</v>
      </c>
      <c r="Q227" s="399">
        <f t="shared" si="84"/>
        <v>349215.7374158086</v>
      </c>
      <c r="R227" s="399">
        <f t="shared" si="84"/>
        <v>825737.65187021112</v>
      </c>
      <c r="S227" s="399">
        <f t="shared" si="84"/>
        <v>858777.10731301957</v>
      </c>
      <c r="T227" s="399">
        <f t="shared" si="84"/>
        <v>893138.14097354119</v>
      </c>
      <c r="U227" s="399">
        <f t="shared" si="84"/>
        <v>928873.61598048208</v>
      </c>
      <c r="V227" s="399">
        <f t="shared" si="84"/>
        <v>966038.50998770143</v>
      </c>
      <c r="W227" s="399">
        <f t="shared" si="84"/>
        <v>1004689.9997552099</v>
      </c>
      <c r="X227" s="399">
        <f t="shared" si="84"/>
        <v>1044887.5491134179</v>
      </c>
      <c r="Y227" s="399">
        <f t="shared" si="84"/>
        <v>1086693.0004459545</v>
      </c>
      <c r="Z227" s="399">
        <f t="shared" si="84"/>
        <v>1130170.6698317928</v>
      </c>
      <c r="AA227" s="399">
        <f t="shared" si="84"/>
        <v>1175387.4459930647</v>
      </c>
      <c r="AB227" s="399">
        <f t="shared" si="84"/>
        <v>1222412.8932007872</v>
      </c>
      <c r="AC227" s="399">
        <f t="shared" si="84"/>
        <v>1271319.358296819</v>
      </c>
      <c r="AD227" s="399">
        <f t="shared" si="84"/>
        <v>1322182.0819966919</v>
      </c>
      <c r="AE227" s="399">
        <f t="shared" si="84"/>
        <v>1375079.3146445593</v>
      </c>
      <c r="AF227" s="399">
        <f t="shared" si="84"/>
        <v>1430092.4365983414</v>
      </c>
      <c r="AG227" s="399">
        <f t="shared" si="84"/>
        <v>1487306.0834302753</v>
      </c>
      <c r="AH227" s="399">
        <f t="shared" si="84"/>
        <v>1546808.2761354856</v>
      </c>
      <c r="AI227" s="399">
        <f t="shared" si="84"/>
        <v>1608690.5565489056</v>
      </c>
      <c r="AJ227" s="400">
        <f t="shared" si="84"/>
        <v>1673048.1281788622</v>
      </c>
    </row>
    <row r="228" spans="1:36" s="315" customFormat="1" ht="15.75" thickBot="1">
      <c r="A228" s="669" t="s">
        <v>467</v>
      </c>
      <c r="B228" s="670"/>
      <c r="C228" s="670"/>
      <c r="D228" s="670"/>
      <c r="E228" s="411">
        <f>E227</f>
        <v>-1038482.2399760839</v>
      </c>
      <c r="F228" s="412">
        <f>+F227+E227</f>
        <v>-914293.13187562872</v>
      </c>
      <c r="G228" s="412">
        <f t="shared" ref="G228:AJ228" si="85">G227+F228</f>
        <v>-769467.67738586338</v>
      </c>
      <c r="H228" s="327">
        <f t="shared" si="85"/>
        <v>-1008786.5482058416</v>
      </c>
      <c r="I228" s="327">
        <f t="shared" si="85"/>
        <v>-1186638.0650279119</v>
      </c>
      <c r="J228" s="327">
        <f t="shared" si="85"/>
        <v>-1302129.4169618867</v>
      </c>
      <c r="K228" s="327">
        <f t="shared" si="85"/>
        <v>-1354332.080681972</v>
      </c>
      <c r="L228" s="327">
        <f t="shared" si="85"/>
        <v>-1342280.3919293417</v>
      </c>
      <c r="M228" s="327">
        <f t="shared" si="85"/>
        <v>-1264970.0598748159</v>
      </c>
      <c r="N228" s="327">
        <f t="shared" si="85"/>
        <v>-1121356.6220560479</v>
      </c>
      <c r="O228" s="327">
        <f t="shared" si="85"/>
        <v>-910353.8375121979</v>
      </c>
      <c r="P228" s="327">
        <f t="shared" si="85"/>
        <v>-630832.01564399048</v>
      </c>
      <c r="Q228" s="327">
        <f t="shared" si="85"/>
        <v>-281616.27822818188</v>
      </c>
      <c r="R228" s="327">
        <f t="shared" si="85"/>
        <v>544121.37364202924</v>
      </c>
      <c r="S228" s="327">
        <f t="shared" si="85"/>
        <v>1402898.4809550489</v>
      </c>
      <c r="T228" s="327">
        <f t="shared" si="85"/>
        <v>2296036.6219285903</v>
      </c>
      <c r="U228" s="327">
        <f t="shared" si="85"/>
        <v>3224910.2379090725</v>
      </c>
      <c r="V228" s="327">
        <f t="shared" si="85"/>
        <v>4190948.7478967737</v>
      </c>
      <c r="W228" s="327">
        <f t="shared" si="85"/>
        <v>5195638.747651984</v>
      </c>
      <c r="X228" s="327">
        <f t="shared" si="85"/>
        <v>6240526.296765402</v>
      </c>
      <c r="Y228" s="327">
        <f t="shared" si="85"/>
        <v>7327219.2972113565</v>
      </c>
      <c r="Z228" s="327">
        <f t="shared" si="85"/>
        <v>8457389.9670431502</v>
      </c>
      <c r="AA228" s="327">
        <f t="shared" si="85"/>
        <v>9632777.4130362142</v>
      </c>
      <c r="AB228" s="327">
        <f t="shared" si="85"/>
        <v>10855190.306237001</v>
      </c>
      <c r="AC228" s="327">
        <f t="shared" si="85"/>
        <v>12126509.66453382</v>
      </c>
      <c r="AD228" s="327">
        <f t="shared" si="85"/>
        <v>13448691.746530512</v>
      </c>
      <c r="AE228" s="327">
        <f t="shared" si="85"/>
        <v>14823771.061175071</v>
      </c>
      <c r="AF228" s="327">
        <f t="shared" si="85"/>
        <v>16253863.497773413</v>
      </c>
      <c r="AG228" s="327">
        <f t="shared" si="85"/>
        <v>17741169.581203688</v>
      </c>
      <c r="AH228" s="327">
        <f t="shared" si="85"/>
        <v>19287977.857339174</v>
      </c>
      <c r="AI228" s="327">
        <f t="shared" si="85"/>
        <v>20896668.413888078</v>
      </c>
      <c r="AJ228" s="328">
        <f t="shared" si="85"/>
        <v>22569716.542066939</v>
      </c>
    </row>
    <row r="229" spans="1:36" s="315" customFormat="1">
      <c r="A229" s="290"/>
      <c r="B229" s="290"/>
      <c r="C229" s="290"/>
      <c r="D229" s="290"/>
      <c r="E229" s="413"/>
      <c r="F229" s="413"/>
      <c r="G229" s="413"/>
      <c r="H229" s="359"/>
      <c r="I229" s="359"/>
      <c r="J229" s="359"/>
      <c r="K229" s="359"/>
      <c r="L229" s="359"/>
      <c r="M229" s="359"/>
      <c r="N229" s="359"/>
      <c r="O229" s="359"/>
      <c r="P229" s="359"/>
      <c r="Q229" s="359"/>
      <c r="R229" s="359"/>
      <c r="S229" s="359"/>
      <c r="T229" s="359"/>
      <c r="U229" s="359"/>
      <c r="V229" s="359"/>
      <c r="W229" s="359"/>
      <c r="X229" s="359"/>
      <c r="Y229" s="359"/>
      <c r="Z229" s="359"/>
      <c r="AA229" s="359"/>
      <c r="AB229" s="359"/>
      <c r="AC229" s="359"/>
      <c r="AD229" s="359"/>
      <c r="AE229" s="359"/>
      <c r="AF229" s="359"/>
      <c r="AG229" s="359"/>
      <c r="AH229" s="359"/>
      <c r="AI229" s="359"/>
      <c r="AJ229" s="359"/>
    </row>
    <row r="230" spans="1:36" s="315" customFormat="1" ht="18.75">
      <c r="A230" s="290"/>
      <c r="B230" s="313" t="s">
        <v>218</v>
      </c>
      <c r="C230" s="219"/>
      <c r="D230" s="219"/>
      <c r="E230" s="246"/>
      <c r="F230" s="246"/>
      <c r="G230" s="246"/>
      <c r="H230" s="246"/>
      <c r="I230" s="641" t="s">
        <v>473</v>
      </c>
      <c r="J230" s="641"/>
      <c r="K230" s="641"/>
      <c r="L230" s="359"/>
      <c r="M230" s="359"/>
      <c r="N230" s="359"/>
      <c r="O230" s="359"/>
      <c r="P230" s="359"/>
      <c r="Q230" s="359"/>
      <c r="R230" s="359"/>
      <c r="S230" s="359"/>
      <c r="T230" s="359"/>
      <c r="U230" s="359"/>
      <c r="V230" s="359"/>
      <c r="W230" s="359"/>
      <c r="X230" s="359"/>
      <c r="Y230" s="359"/>
      <c r="Z230" s="359"/>
      <c r="AA230" s="359"/>
      <c r="AB230" s="359"/>
      <c r="AC230" s="359"/>
      <c r="AD230" s="359"/>
      <c r="AE230" s="359"/>
      <c r="AF230" s="359"/>
      <c r="AG230" s="359"/>
      <c r="AH230" s="359"/>
      <c r="AI230" s="359"/>
      <c r="AJ230" s="359"/>
    </row>
    <row r="231" spans="1:36" s="315" customFormat="1" ht="15.75">
      <c r="A231" s="290"/>
      <c r="B231" s="245" t="s">
        <v>413</v>
      </c>
      <c r="C231" s="221"/>
      <c r="D231" s="221"/>
      <c r="E231" s="221"/>
      <c r="F231" s="221"/>
      <c r="G231" s="221"/>
      <c r="H231" s="14"/>
      <c r="I231" s="14"/>
      <c r="J231" s="14"/>
      <c r="K231"/>
      <c r="L231" s="359"/>
      <c r="M231" s="359"/>
      <c r="N231" s="359"/>
      <c r="O231" s="359"/>
      <c r="P231" s="359"/>
      <c r="Q231" s="359"/>
      <c r="R231" s="359"/>
      <c r="S231" s="359"/>
      <c r="T231" s="359"/>
      <c r="U231" s="359"/>
      <c r="V231" s="359"/>
      <c r="W231" s="359"/>
      <c r="X231" s="359"/>
      <c r="Y231" s="359"/>
      <c r="Z231" s="359"/>
      <c r="AA231" s="359"/>
      <c r="AB231" s="359"/>
      <c r="AC231" s="359"/>
      <c r="AD231" s="359"/>
      <c r="AE231" s="359"/>
      <c r="AF231" s="359"/>
      <c r="AG231" s="359"/>
      <c r="AH231" s="359"/>
      <c r="AI231" s="359"/>
      <c r="AJ231" s="359"/>
    </row>
    <row r="232" spans="1:36" s="315" customFormat="1" ht="15.75" thickBot="1">
      <c r="A232" s="290"/>
      <c r="B232" s="290"/>
      <c r="C232" s="290"/>
      <c r="D232" s="290"/>
      <c r="E232" s="413"/>
      <c r="F232" s="413"/>
      <c r="G232" s="413"/>
      <c r="H232" s="359"/>
      <c r="I232" s="359"/>
      <c r="J232" s="359"/>
      <c r="K232" s="359"/>
      <c r="L232" s="359"/>
      <c r="M232" s="359"/>
      <c r="N232" s="359"/>
      <c r="O232" s="359"/>
      <c r="P232" s="359"/>
      <c r="Q232" s="359"/>
      <c r="R232" s="359"/>
      <c r="S232" s="359"/>
      <c r="T232" s="359"/>
      <c r="U232" s="359"/>
      <c r="V232" s="359"/>
      <c r="W232" s="359"/>
      <c r="X232" s="359"/>
      <c r="Y232" s="359"/>
      <c r="Z232" s="359"/>
      <c r="AA232" s="359"/>
      <c r="AB232" s="359"/>
      <c r="AC232" s="359"/>
      <c r="AD232" s="359"/>
      <c r="AE232" s="359"/>
      <c r="AF232" s="359"/>
      <c r="AG232" s="359"/>
      <c r="AH232" s="359"/>
      <c r="AI232" s="359"/>
      <c r="AJ232" s="359"/>
    </row>
    <row r="233" spans="1:36" s="14" customFormat="1">
      <c r="A233" s="283"/>
      <c r="B233" s="283"/>
      <c r="E233" s="284" t="s">
        <v>237</v>
      </c>
      <c r="F233" s="285">
        <v>0.16</v>
      </c>
      <c r="G233" s="286">
        <f>+NPV(F233,F227:AJ227)+E227</f>
        <v>88837.700978186913</v>
      </c>
      <c r="H233" s="287" t="s">
        <v>392</v>
      </c>
      <c r="I233" s="231"/>
      <c r="J233" s="231"/>
      <c r="K233" s="231"/>
      <c r="L233" s="231"/>
      <c r="M233" s="231"/>
      <c r="N233" s="231"/>
      <c r="O233" s="231"/>
      <c r="P233" s="231"/>
      <c r="Q233" s="231"/>
      <c r="R233" s="231"/>
      <c r="S233" s="231"/>
    </row>
    <row r="234" spans="1:36" s="14" customFormat="1">
      <c r="A234" s="288"/>
      <c r="B234" s="288"/>
      <c r="E234" s="304" t="s">
        <v>238</v>
      </c>
      <c r="F234" s="291"/>
      <c r="G234" s="292">
        <f>+IRR(E227:AJ227)</f>
        <v>0.16523882345987329</v>
      </c>
      <c r="H234" s="305"/>
      <c r="I234" s="228"/>
      <c r="J234" s="228"/>
      <c r="K234" s="228"/>
      <c r="L234" s="228"/>
      <c r="M234" s="228"/>
      <c r="N234" s="228"/>
      <c r="O234" s="228"/>
      <c r="P234" s="228"/>
      <c r="Q234" s="228"/>
      <c r="R234" s="228"/>
      <c r="S234" s="228"/>
    </row>
    <row r="235" spans="1:36" s="14" customFormat="1" ht="15.75" customHeight="1" thickBot="1">
      <c r="A235" s="288"/>
      <c r="B235" s="288"/>
      <c r="E235" s="665" t="s">
        <v>239</v>
      </c>
      <c r="F235" s="666"/>
      <c r="G235" s="434" t="str">
        <f>+COUNTIF(D238:W239,1)&amp;" años y "&amp;ROUND(SUM(D239:W239),0)&amp;" días"</f>
        <v>12 años y 124 días</v>
      </c>
      <c r="H235" s="435"/>
      <c r="I235" s="228"/>
      <c r="J235" s="228"/>
      <c r="K235" s="228"/>
      <c r="L235" s="228"/>
      <c r="M235" s="228"/>
      <c r="N235" s="228"/>
      <c r="O235" s="228"/>
      <c r="P235" s="228"/>
      <c r="Q235" s="228"/>
      <c r="R235" s="228"/>
      <c r="S235" s="228"/>
    </row>
    <row r="236" spans="1:36" s="14" customFormat="1" ht="17.25" hidden="1" customHeight="1">
      <c r="A236" s="288"/>
      <c r="B236" s="288"/>
      <c r="C236" s="290"/>
      <c r="D236" s="291"/>
      <c r="E236" s="292"/>
      <c r="F236" s="291"/>
      <c r="G236" s="289"/>
      <c r="H236" s="228"/>
      <c r="I236" s="228"/>
      <c r="J236" s="228"/>
      <c r="K236" s="228"/>
      <c r="L236" s="228"/>
      <c r="M236" s="228"/>
      <c r="N236" s="228"/>
      <c r="O236" s="228"/>
      <c r="P236" s="228"/>
      <c r="Q236" s="228"/>
      <c r="R236" s="228"/>
      <c r="S236" s="228"/>
    </row>
    <row r="237" spans="1:36" hidden="1"/>
    <row r="238" spans="1:36" s="14" customFormat="1" hidden="1">
      <c r="A238" s="294"/>
      <c r="B238" s="295"/>
      <c r="C238" s="294"/>
      <c r="D238" s="294"/>
      <c r="E238" s="294"/>
      <c r="F238" s="294">
        <f t="shared" ref="F238:AJ238" si="86">+IF(F228&lt;0,1,(-365*E228/F227))</f>
        <v>1</v>
      </c>
      <c r="G238" s="294">
        <f t="shared" si="86"/>
        <v>1</v>
      </c>
      <c r="H238" s="247">
        <f t="shared" si="86"/>
        <v>1</v>
      </c>
      <c r="I238" s="247">
        <f t="shared" si="86"/>
        <v>1</v>
      </c>
      <c r="J238" s="247">
        <f t="shared" si="86"/>
        <v>1</v>
      </c>
      <c r="K238" s="247">
        <f t="shared" si="86"/>
        <v>1</v>
      </c>
      <c r="L238" s="247">
        <f t="shared" si="86"/>
        <v>1</v>
      </c>
      <c r="M238" s="247">
        <f t="shared" si="86"/>
        <v>1</v>
      </c>
      <c r="N238" s="247">
        <f t="shared" si="86"/>
        <v>1</v>
      </c>
      <c r="O238" s="247">
        <f t="shared" si="86"/>
        <v>1</v>
      </c>
      <c r="P238" s="247">
        <f t="shared" si="86"/>
        <v>1</v>
      </c>
      <c r="Q238" s="247">
        <f t="shared" si="86"/>
        <v>1</v>
      </c>
      <c r="R238" s="247">
        <f t="shared" si="86"/>
        <v>124.48256576465626</v>
      </c>
      <c r="S238" s="247">
        <f t="shared" si="86"/>
        <v>-231.26408434517165</v>
      </c>
      <c r="T238" s="247">
        <f t="shared" si="86"/>
        <v>-573.3244635487606</v>
      </c>
      <c r="U238" s="247">
        <f t="shared" si="86"/>
        <v>-902.22539706795271</v>
      </c>
      <c r="V238" s="247">
        <f t="shared" si="86"/>
        <v>-1218.4734093590089</v>
      </c>
      <c r="W238" s="247">
        <f t="shared" si="86"/>
        <v>-1522.555508022404</v>
      </c>
      <c r="X238" s="247">
        <f t="shared" si="86"/>
        <v>-1814.9399373186784</v>
      </c>
      <c r="Y238" s="247">
        <f t="shared" si="86"/>
        <v>-2096.0769024780843</v>
      </c>
      <c r="Z238" s="247">
        <f t="shared" si="86"/>
        <v>-2366.3992659446653</v>
      </c>
      <c r="AA238" s="247">
        <f t="shared" si="86"/>
        <v>-2626.3232166501839</v>
      </c>
      <c r="AB238" s="247">
        <f t="shared" si="86"/>
        <v>-2876.2489133699805</v>
      </c>
      <c r="AC238" s="247">
        <f t="shared" si="86"/>
        <v>-3116.5611031712542</v>
      </c>
      <c r="AD238" s="247">
        <f t="shared" si="86"/>
        <v>-3347.6297159243445</v>
      </c>
      <c r="AE238" s="247">
        <f t="shared" si="86"/>
        <v>-3569.8104358092919</v>
      </c>
      <c r="AF238" s="247">
        <f t="shared" si="86"/>
        <v>-3783.445250713226</v>
      </c>
      <c r="AG238" s="247">
        <f t="shared" si="86"/>
        <v>-3988.862980378859</v>
      </c>
      <c r="AH238" s="247">
        <f t="shared" si="86"/>
        <v>-4186.3797841305004</v>
      </c>
      <c r="AI238" s="247">
        <f t="shared" si="86"/>
        <v>-4376.2996489715351</v>
      </c>
      <c r="AJ238" s="247">
        <f t="shared" si="86"/>
        <v>-4558.9148588161424</v>
      </c>
    </row>
    <row r="239" spans="1:36" s="14" customFormat="1" ht="15.75" hidden="1" thickBot="1">
      <c r="A239" s="296"/>
      <c r="B239" s="297"/>
      <c r="C239" s="296"/>
      <c r="D239" s="296"/>
      <c r="E239" s="296"/>
      <c r="F239" s="296">
        <f>+IF(F238&gt;0,IF(F238&lt;&gt;1,F238,0),0)</f>
        <v>0</v>
      </c>
      <c r="G239" s="296">
        <f t="shared" ref="G239:N239" si="87">+IF(G238&gt;0,IF(G238&lt;&gt;1,G238,0),0)</f>
        <v>0</v>
      </c>
      <c r="H239" s="255">
        <f t="shared" si="87"/>
        <v>0</v>
      </c>
      <c r="I239" s="255">
        <f t="shared" si="87"/>
        <v>0</v>
      </c>
      <c r="J239" s="255">
        <f t="shared" si="87"/>
        <v>0</v>
      </c>
      <c r="K239" s="255">
        <f t="shared" si="87"/>
        <v>0</v>
      </c>
      <c r="L239" s="255">
        <f t="shared" si="87"/>
        <v>0</v>
      </c>
      <c r="M239" s="255">
        <f t="shared" si="87"/>
        <v>0</v>
      </c>
      <c r="N239" s="255">
        <f t="shared" si="87"/>
        <v>0</v>
      </c>
      <c r="O239" s="255">
        <f>+IF(O238&gt;0,IF(O238&lt;&gt;1,O238,0),0)</f>
        <v>0</v>
      </c>
      <c r="P239" s="255">
        <f>+IF(P238&gt;0,IF(P238&gt;1,P238,0),0)</f>
        <v>0</v>
      </c>
      <c r="Q239" s="255">
        <f t="shared" ref="Q239:AJ239" si="88">+IF(Q238&gt;0,IF(Q238&lt;&gt;1,Q238,0),0)</f>
        <v>0</v>
      </c>
      <c r="R239" s="255">
        <f t="shared" si="88"/>
        <v>124.48256576465626</v>
      </c>
      <c r="S239" s="255">
        <f t="shared" si="88"/>
        <v>0</v>
      </c>
      <c r="T239" s="255">
        <f t="shared" si="88"/>
        <v>0</v>
      </c>
      <c r="U239" s="255">
        <f t="shared" si="88"/>
        <v>0</v>
      </c>
      <c r="V239" s="255">
        <f t="shared" si="88"/>
        <v>0</v>
      </c>
      <c r="W239" s="255">
        <f t="shared" si="88"/>
        <v>0</v>
      </c>
      <c r="X239" s="255">
        <f t="shared" si="88"/>
        <v>0</v>
      </c>
      <c r="Y239" s="255">
        <f t="shared" si="88"/>
        <v>0</v>
      </c>
      <c r="Z239" s="255">
        <f t="shared" si="88"/>
        <v>0</v>
      </c>
      <c r="AA239" s="255">
        <f t="shared" si="88"/>
        <v>0</v>
      </c>
      <c r="AB239" s="255">
        <f t="shared" si="88"/>
        <v>0</v>
      </c>
      <c r="AC239" s="255">
        <f t="shared" si="88"/>
        <v>0</v>
      </c>
      <c r="AD239" s="255">
        <f t="shared" si="88"/>
        <v>0</v>
      </c>
      <c r="AE239" s="255">
        <f t="shared" si="88"/>
        <v>0</v>
      </c>
      <c r="AF239" s="255">
        <f t="shared" si="88"/>
        <v>0</v>
      </c>
      <c r="AG239" s="255">
        <f t="shared" si="88"/>
        <v>0</v>
      </c>
      <c r="AH239" s="255">
        <f t="shared" si="88"/>
        <v>0</v>
      </c>
      <c r="AI239" s="255">
        <f t="shared" si="88"/>
        <v>0</v>
      </c>
      <c r="AJ239" s="255">
        <f t="shared" si="88"/>
        <v>0</v>
      </c>
    </row>
    <row r="240" spans="1:36" s="14" customFormat="1" hidden="1">
      <c r="A240" s="288"/>
      <c r="B240" s="298"/>
      <c r="C240" s="288"/>
      <c r="D240" s="288"/>
      <c r="E240" s="299"/>
      <c r="F240" s="288"/>
      <c r="G240" s="288"/>
      <c r="H240" s="218"/>
      <c r="I240" s="218"/>
      <c r="J240" s="218"/>
      <c r="K240" s="218"/>
      <c r="L240" s="218"/>
      <c r="M240" s="218"/>
      <c r="N240" s="218"/>
      <c r="O240" s="218"/>
      <c r="P240" s="218"/>
      <c r="Q240" s="218"/>
      <c r="R240" s="218"/>
      <c r="S240" s="218"/>
      <c r="T240" s="218"/>
      <c r="U240" s="218"/>
      <c r="V240" s="218"/>
      <c r="W240" s="218"/>
      <c r="X240" s="218"/>
      <c r="Y240" s="218"/>
      <c r="Z240" s="218"/>
      <c r="AA240" s="218"/>
      <c r="AB240" s="218"/>
      <c r="AC240" s="218"/>
      <c r="AD240" s="218"/>
      <c r="AE240" s="218"/>
      <c r="AF240" s="218"/>
      <c r="AG240" s="218"/>
      <c r="AH240" s="218"/>
      <c r="AI240" s="218"/>
      <c r="AJ240" s="218"/>
    </row>
    <row r="241" spans="1:36" s="14" customFormat="1" hidden="1">
      <c r="A241" s="288"/>
      <c r="B241" s="298"/>
      <c r="C241" s="288"/>
      <c r="D241" s="288"/>
      <c r="E241" s="300"/>
      <c r="F241" s="288"/>
      <c r="G241" s="288"/>
      <c r="H241" s="218"/>
      <c r="I241" s="218"/>
      <c r="J241" s="218"/>
      <c r="K241" s="218"/>
      <c r="L241" s="218"/>
      <c r="M241" s="218"/>
      <c r="N241" s="218"/>
      <c r="O241" s="218"/>
      <c r="P241" s="218"/>
      <c r="Q241" s="218"/>
      <c r="R241" s="218"/>
      <c r="S241" s="218"/>
      <c r="T241" s="218"/>
      <c r="U241" s="218"/>
      <c r="V241" s="218"/>
      <c r="W241" s="218"/>
      <c r="X241" s="218"/>
      <c r="Y241" s="218"/>
      <c r="Z241" s="218"/>
      <c r="AA241" s="218"/>
      <c r="AB241" s="218"/>
      <c r="AC241" s="218"/>
      <c r="AD241" s="218"/>
      <c r="AE241" s="218"/>
      <c r="AF241" s="218"/>
      <c r="AG241" s="218"/>
      <c r="AH241" s="218"/>
      <c r="AI241" s="218"/>
      <c r="AJ241" s="218"/>
    </row>
    <row r="242" spans="1:36" s="14" customFormat="1" hidden="1">
      <c r="A242" s="288"/>
      <c r="B242" s="298" t="s">
        <v>411</v>
      </c>
      <c r="C242" s="288"/>
      <c r="D242" s="288"/>
      <c r="E242" s="288"/>
      <c r="F242" s="288"/>
      <c r="G242" s="288"/>
      <c r="H242" s="218"/>
      <c r="I242" s="218"/>
      <c r="J242" s="218"/>
      <c r="K242" s="218"/>
      <c r="L242" s="218"/>
      <c r="M242" s="218"/>
      <c r="N242" s="218"/>
      <c r="O242" s="218"/>
      <c r="P242" s="218"/>
      <c r="Q242" s="218"/>
      <c r="R242" s="218"/>
      <c r="S242" s="218"/>
      <c r="T242" s="218"/>
      <c r="U242" s="218"/>
      <c r="V242" s="218"/>
      <c r="W242" s="218"/>
      <c r="X242" s="218"/>
      <c r="Y242" s="218"/>
      <c r="Z242" s="218"/>
      <c r="AA242" s="218"/>
      <c r="AB242" s="218"/>
      <c r="AC242" s="218"/>
      <c r="AD242" s="218"/>
      <c r="AE242" s="218"/>
      <c r="AF242" s="218"/>
      <c r="AG242" s="218"/>
      <c r="AH242" s="218"/>
      <c r="AI242" s="218"/>
      <c r="AJ242" s="218"/>
    </row>
    <row r="243" spans="1:36" s="14" customFormat="1" ht="15.75" hidden="1" thickBot="1">
      <c r="A243" s="301"/>
      <c r="B243" s="302" t="s">
        <v>412</v>
      </c>
      <c r="C243" s="303"/>
      <c r="D243" s="303"/>
      <c r="E243" s="293">
        <f>+E227/(1+$F$233)^E218</f>
        <v>-1038482.2399760839</v>
      </c>
      <c r="F243" s="293">
        <f>+F227/(1+$F$233)^F218</f>
        <v>107059.57594866824</v>
      </c>
      <c r="G243" s="293">
        <f t="shared" ref="G243:AJ243" si="89">+G227/(1+$F$233)^G218</f>
        <v>107628.90494185887</v>
      </c>
      <c r="H243" s="293">
        <f t="shared" si="89"/>
        <v>-153321.4710140703</v>
      </c>
      <c r="I243" s="293">
        <f t="shared" si="89"/>
        <v>-98225.809485368954</v>
      </c>
      <c r="J243" s="293">
        <f t="shared" si="89"/>
        <v>-54986.935823547574</v>
      </c>
      <c r="K243" s="293">
        <f t="shared" si="89"/>
        <v>-21426.178996916751</v>
      </c>
      <c r="L243" s="293">
        <f t="shared" si="89"/>
        <v>4264.2433656719522</v>
      </c>
      <c r="M243" s="293">
        <f t="shared" si="89"/>
        <v>23581.619350138382</v>
      </c>
      <c r="N243" s="293">
        <f t="shared" si="89"/>
        <v>37763.581442244657</v>
      </c>
      <c r="O243" s="293">
        <f t="shared" si="89"/>
        <v>47830.871537709623</v>
      </c>
      <c r="P243" s="293">
        <f t="shared" si="89"/>
        <v>54623.287778535399</v>
      </c>
      <c r="Q243" s="293">
        <f t="shared" si="89"/>
        <v>58829.876440062857</v>
      </c>
      <c r="R243" s="293">
        <f t="shared" si="89"/>
        <v>119919.06342744327</v>
      </c>
      <c r="S243" s="293">
        <f t="shared" si="89"/>
        <v>107514.8886873521</v>
      </c>
      <c r="T243" s="293">
        <f t="shared" si="89"/>
        <v>96393.732628722617</v>
      </c>
      <c r="U243" s="293">
        <f t="shared" si="89"/>
        <v>86422.892878836792</v>
      </c>
      <c r="V243" s="293">
        <f t="shared" si="89"/>
        <v>77483.391627978577</v>
      </c>
      <c r="W243" s="293">
        <f t="shared" si="89"/>
        <v>69468.556297902993</v>
      </c>
      <c r="X243" s="293">
        <f t="shared" si="89"/>
        <v>62282.746975520102</v>
      </c>
      <c r="Y243" s="293">
        <f t="shared" si="89"/>
        <v>55840.21543776137</v>
      </c>
      <c r="Z243" s="293">
        <f t="shared" si="89"/>
        <v>50064.082162141487</v>
      </c>
      <c r="AA243" s="293">
        <f t="shared" si="89"/>
        <v>44885.419123974287</v>
      </c>
      <c r="AB243" s="293">
        <f t="shared" si="89"/>
        <v>40242.427442290136</v>
      </c>
      <c r="AC243" s="293">
        <f t="shared" si="89"/>
        <v>36079.700067257822</v>
      </c>
      <c r="AD243" s="293">
        <f t="shared" si="89"/>
        <v>32347.560715797539</v>
      </c>
      <c r="AE243" s="293">
        <f t="shared" si="89"/>
        <v>29001.471171161673</v>
      </c>
      <c r="AF243" s="293">
        <f t="shared" si="89"/>
        <v>26001.499877383725</v>
      </c>
      <c r="AG243" s="293">
        <f t="shared" si="89"/>
        <v>23311.845490363201</v>
      </c>
      <c r="AH243" s="293">
        <f t="shared" si="89"/>
        <v>20900.409702672699</v>
      </c>
      <c r="AI243" s="293">
        <f t="shared" si="89"/>
        <v>18738.414246750122</v>
      </c>
      <c r="AJ243" s="293">
        <f t="shared" si="89"/>
        <v>16800.057507974052</v>
      </c>
    </row>
    <row r="244" spans="1:36" ht="15.75" hidden="1" thickBot="1">
      <c r="A244" s="236"/>
      <c r="B244" s="237"/>
      <c r="C244" s="236"/>
      <c r="D244" s="236"/>
      <c r="E244" s="236"/>
      <c r="F244" s="236"/>
      <c r="G244" s="236"/>
      <c r="H244" s="236"/>
      <c r="I244" s="236"/>
      <c r="J244" s="236"/>
      <c r="K244" s="236"/>
      <c r="L244" s="236"/>
      <c r="M244" s="236"/>
      <c r="N244" s="236"/>
      <c r="O244" s="236"/>
      <c r="P244" s="236"/>
      <c r="Q244" s="236"/>
      <c r="R244" s="236"/>
      <c r="S244" s="236"/>
      <c r="T244" s="236"/>
      <c r="U244" s="236"/>
      <c r="V244" s="236"/>
      <c r="W244" s="236"/>
      <c r="X244" s="236"/>
      <c r="Y244" s="236"/>
      <c r="Z244" s="236"/>
      <c r="AA244" s="236"/>
      <c r="AB244" s="236"/>
      <c r="AC244" s="236"/>
      <c r="AD244" s="236"/>
      <c r="AE244" s="236"/>
      <c r="AF244" s="236"/>
      <c r="AG244" s="236"/>
      <c r="AH244" s="236"/>
      <c r="AI244" s="236"/>
      <c r="AJ244" s="236"/>
    </row>
    <row r="245" spans="1:36">
      <c r="A245" s="218"/>
      <c r="B245" s="218"/>
      <c r="C245" s="279"/>
      <c r="D245" s="230"/>
      <c r="E245" s="280"/>
      <c r="F245" s="230"/>
      <c r="G245" s="228"/>
      <c r="H245" s="228"/>
      <c r="I245" s="228"/>
      <c r="J245" s="228"/>
      <c r="K245" s="228"/>
      <c r="L245" s="228"/>
      <c r="M245" s="228"/>
      <c r="N245" s="228"/>
      <c r="O245" s="228"/>
      <c r="P245" s="228"/>
      <c r="Q245" s="228"/>
      <c r="R245" s="228"/>
      <c r="S245" s="228"/>
      <c r="T245" s="14"/>
      <c r="U245" s="14"/>
      <c r="V245" s="14"/>
    </row>
    <row r="246" spans="1:36">
      <c r="A246" s="218"/>
      <c r="B246" s="218"/>
      <c r="C246" s="279"/>
      <c r="D246" s="230"/>
      <c r="E246" s="280"/>
      <c r="F246" s="230"/>
      <c r="G246" s="228"/>
      <c r="H246" s="228"/>
      <c r="I246" s="228"/>
      <c r="J246" s="228"/>
      <c r="K246" s="228"/>
      <c r="L246" s="228"/>
      <c r="M246" s="228"/>
      <c r="N246" s="228"/>
      <c r="O246" s="228"/>
      <c r="P246" s="228"/>
      <c r="Q246" s="228"/>
      <c r="R246" s="228"/>
      <c r="S246" s="228"/>
      <c r="T246" s="14"/>
      <c r="U246" s="14"/>
      <c r="V246" s="14"/>
    </row>
  </sheetData>
  <mergeCells count="59">
    <mergeCell ref="AE215:AG215"/>
    <mergeCell ref="A218:D218"/>
    <mergeCell ref="A228:D228"/>
    <mergeCell ref="I230:K230"/>
    <mergeCell ref="E235:F235"/>
    <mergeCell ref="U215:W215"/>
    <mergeCell ref="A192:D192"/>
    <mergeCell ref="A193:D193"/>
    <mergeCell ref="E196:F196"/>
    <mergeCell ref="G196:H196"/>
    <mergeCell ref="H208:J208"/>
    <mergeCell ref="AF175:AH175"/>
    <mergeCell ref="A178:D178"/>
    <mergeCell ref="A179:D179"/>
    <mergeCell ref="A182:D182"/>
    <mergeCell ref="A187:D187"/>
    <mergeCell ref="U175:W175"/>
    <mergeCell ref="A188:D188"/>
    <mergeCell ref="A137:D137"/>
    <mergeCell ref="A147:D147"/>
    <mergeCell ref="H149:K149"/>
    <mergeCell ref="E154:F154"/>
    <mergeCell ref="H168:J168"/>
    <mergeCell ref="AF134:AI134"/>
    <mergeCell ref="A97:D97"/>
    <mergeCell ref="A98:D98"/>
    <mergeCell ref="A101:D101"/>
    <mergeCell ref="A106:D106"/>
    <mergeCell ref="A107:D107"/>
    <mergeCell ref="A111:D111"/>
    <mergeCell ref="A112:D112"/>
    <mergeCell ref="E115:F115"/>
    <mergeCell ref="G115:H115"/>
    <mergeCell ref="H128:K128"/>
    <mergeCell ref="U134:X134"/>
    <mergeCell ref="A93:D93"/>
    <mergeCell ref="A35:D35"/>
    <mergeCell ref="H45:J45"/>
    <mergeCell ref="T51:W51"/>
    <mergeCell ref="AE51:AH51"/>
    <mergeCell ref="A54:D54"/>
    <mergeCell ref="A64:D64"/>
    <mergeCell ref="G66:J66"/>
    <mergeCell ref="E71:F71"/>
    <mergeCell ref="H85:J85"/>
    <mergeCell ref="T92:W92"/>
    <mergeCell ref="AE92:AH92"/>
    <mergeCell ref="G33:H33"/>
    <mergeCell ref="H3:J3"/>
    <mergeCell ref="A11:D11"/>
    <mergeCell ref="T12:W12"/>
    <mergeCell ref="AE12:AH12"/>
    <mergeCell ref="A15:D15"/>
    <mergeCell ref="A16:D16"/>
    <mergeCell ref="A19:D19"/>
    <mergeCell ref="A24:D24"/>
    <mergeCell ref="A25:D25"/>
    <mergeCell ref="A29:D29"/>
    <mergeCell ref="E33:F33"/>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dimension ref="A1:F9"/>
  <sheetViews>
    <sheetView showGridLines="0" workbookViewId="0">
      <selection activeCell="F7" sqref="F7"/>
    </sheetView>
  </sheetViews>
  <sheetFormatPr baseColWidth="10" defaultRowHeight="15"/>
  <cols>
    <col min="1" max="1" width="16.42578125" customWidth="1"/>
    <col min="4" max="4" width="17.5703125" customWidth="1"/>
    <col min="5" max="5" width="16.7109375" customWidth="1"/>
    <col min="6" max="6" width="17.42578125" customWidth="1"/>
    <col min="7" max="7" width="14.42578125" customWidth="1"/>
  </cols>
  <sheetData>
    <row r="1" spans="1:6">
      <c r="A1" t="s">
        <v>422</v>
      </c>
    </row>
    <row r="2" spans="1:6" ht="15.75" thickBot="1"/>
    <row r="3" spans="1:6" ht="15.75" thickBot="1">
      <c r="D3" s="638" t="s">
        <v>416</v>
      </c>
      <c r="E3" s="639"/>
      <c r="F3" s="640"/>
    </row>
    <row r="4" spans="1:6" s="271" customFormat="1" ht="17.25" customHeight="1" thickBot="1">
      <c r="D4" s="337" t="s">
        <v>417</v>
      </c>
      <c r="E4" s="337" t="s">
        <v>418</v>
      </c>
      <c r="F4" s="336" t="s">
        <v>419</v>
      </c>
    </row>
    <row r="5" spans="1:6" ht="15.75" thickBot="1">
      <c r="A5" s="335"/>
      <c r="B5" s="634" t="s">
        <v>420</v>
      </c>
      <c r="C5" s="635"/>
      <c r="D5" s="418">
        <f>'FLUJO DE FONDO a 30'!G70</f>
        <v>9.3344578837827749E-2</v>
      </c>
      <c r="E5" s="419">
        <f>'FLUJO DE FONDO a 30'!G234</f>
        <v>0.16523882345987329</v>
      </c>
      <c r="F5" s="420">
        <f>'FLUJO DE FONDO a 30'!G153</f>
        <v>0.24453908371558433</v>
      </c>
    </row>
    <row r="6" spans="1:6" ht="15.75" thickBot="1">
      <c r="A6" s="335"/>
      <c r="B6" s="636" t="s">
        <v>423</v>
      </c>
      <c r="C6" s="637"/>
      <c r="D6" s="421">
        <f>'FLUJO DE FONDO a 30'!G69</f>
        <v>-880125.83566466928</v>
      </c>
      <c r="E6" s="422">
        <f>'FLUJO DE FONDO a 30'!G233</f>
        <v>88837.700978186913</v>
      </c>
      <c r="F6" s="423">
        <f>'FLUJO DE FONDO a 30'!G152</f>
        <v>2031531.2046074951</v>
      </c>
    </row>
    <row r="7" spans="1:6" ht="15.75" thickBot="1">
      <c r="A7" s="335"/>
      <c r="B7" s="634" t="s">
        <v>421</v>
      </c>
      <c r="C7" s="635"/>
      <c r="D7" s="338" t="s">
        <v>464</v>
      </c>
      <c r="E7" s="310" t="s">
        <v>466</v>
      </c>
      <c r="F7" s="100" t="s">
        <v>465</v>
      </c>
    </row>
    <row r="8" spans="1:6">
      <c r="A8" s="335"/>
    </row>
    <row r="9" spans="1:6" ht="16.5" customHeight="1">
      <c r="A9" s="335"/>
    </row>
  </sheetData>
  <mergeCells count="4">
    <mergeCell ref="B5:C5"/>
    <mergeCell ref="B6:C6"/>
    <mergeCell ref="B7:C7"/>
    <mergeCell ref="D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L31"/>
  <sheetViews>
    <sheetView workbookViewId="0">
      <selection activeCell="H9" sqref="H9"/>
    </sheetView>
  </sheetViews>
  <sheetFormatPr baseColWidth="10" defaultRowHeight="15"/>
  <cols>
    <col min="1" max="1" width="18.7109375" customWidth="1"/>
    <col min="2" max="2" width="12.7109375" customWidth="1"/>
    <col min="3" max="3" width="25.5703125" customWidth="1"/>
    <col min="4" max="4" width="16.42578125" style="206" customWidth="1"/>
    <col min="5" max="7" width="19.85546875" customWidth="1"/>
    <col min="9" max="9" width="12.85546875" customWidth="1"/>
    <col min="11" max="11" width="11.85546875" customWidth="1"/>
  </cols>
  <sheetData>
    <row r="2" spans="1:12" ht="15.75">
      <c r="A2" s="181"/>
      <c r="B2" s="181"/>
      <c r="C2" s="181"/>
      <c r="D2" s="182"/>
    </row>
    <row r="3" spans="1:12">
      <c r="H3" s="427"/>
      <c r="I3" s="427"/>
      <c r="J3" s="427"/>
      <c r="K3" s="427"/>
      <c r="L3" s="427"/>
    </row>
    <row r="4" spans="1:12">
      <c r="A4" s="183" t="s">
        <v>341</v>
      </c>
      <c r="B4" s="183" t="s">
        <v>342</v>
      </c>
      <c r="C4" s="184" t="s">
        <v>343</v>
      </c>
      <c r="D4" s="185" t="s">
        <v>344</v>
      </c>
      <c r="E4" s="183" t="s">
        <v>345</v>
      </c>
      <c r="F4" s="186"/>
      <c r="G4" s="187"/>
      <c r="H4" s="427"/>
      <c r="I4" s="426"/>
      <c r="J4" s="427"/>
      <c r="K4" s="426"/>
      <c r="L4" s="427"/>
    </row>
    <row r="5" spans="1:12">
      <c r="A5" s="447" t="s">
        <v>346</v>
      </c>
      <c r="B5" s="459" t="s">
        <v>290</v>
      </c>
      <c r="C5" s="188" t="s">
        <v>347</v>
      </c>
      <c r="D5" s="189">
        <v>114.2</v>
      </c>
      <c r="E5" s="453">
        <f>SUM(D5:D6)</f>
        <v>365.2</v>
      </c>
      <c r="F5" s="190"/>
      <c r="G5" s="191"/>
      <c r="H5" s="428"/>
      <c r="I5" s="455"/>
      <c r="J5" s="427"/>
      <c r="K5" s="456"/>
      <c r="L5" s="427"/>
    </row>
    <row r="6" spans="1:12">
      <c r="A6" s="449"/>
      <c r="B6" s="461"/>
      <c r="C6" s="192" t="s">
        <v>348</v>
      </c>
      <c r="D6" s="189">
        <f>2*125.5</f>
        <v>251</v>
      </c>
      <c r="E6" s="454"/>
      <c r="F6" s="193"/>
      <c r="G6" s="131"/>
      <c r="H6" s="429"/>
      <c r="I6" s="455"/>
      <c r="J6" s="427"/>
      <c r="K6" s="456"/>
      <c r="L6" s="427"/>
    </row>
    <row r="7" spans="1:12">
      <c r="A7" s="447" t="s">
        <v>349</v>
      </c>
      <c r="B7" s="459" t="s">
        <v>297</v>
      </c>
      <c r="C7" s="194" t="s">
        <v>350</v>
      </c>
      <c r="D7" s="189">
        <v>322</v>
      </c>
      <c r="E7" s="453">
        <f>SUM(D7:D8)</f>
        <v>573</v>
      </c>
      <c r="F7" s="190"/>
      <c r="G7" s="191"/>
      <c r="H7" s="428"/>
      <c r="I7" s="455"/>
      <c r="J7" s="427"/>
      <c r="K7" s="456"/>
      <c r="L7" s="427"/>
    </row>
    <row r="8" spans="1:12">
      <c r="A8" s="449"/>
      <c r="B8" s="461"/>
      <c r="C8" s="195" t="s">
        <v>351</v>
      </c>
      <c r="D8" s="189">
        <f>2*125.5</f>
        <v>251</v>
      </c>
      <c r="E8" s="454"/>
      <c r="F8" s="193"/>
      <c r="G8" s="131"/>
      <c r="H8" s="429"/>
      <c r="I8" s="455"/>
      <c r="J8" s="427"/>
      <c r="K8" s="456"/>
      <c r="L8" s="427"/>
    </row>
    <row r="9" spans="1:12">
      <c r="A9" s="447" t="s">
        <v>352</v>
      </c>
      <c r="B9" s="459" t="s">
        <v>293</v>
      </c>
      <c r="C9" s="196" t="s">
        <v>353</v>
      </c>
      <c r="D9" s="189">
        <v>144.1</v>
      </c>
      <c r="E9" s="453">
        <f>SUM(D9:D11)</f>
        <v>529.29999999999995</v>
      </c>
      <c r="F9" s="190"/>
      <c r="G9" s="191"/>
      <c r="H9" s="428"/>
      <c r="I9" s="427"/>
      <c r="J9" s="430"/>
      <c r="K9" s="431"/>
      <c r="L9" s="427"/>
    </row>
    <row r="10" spans="1:12">
      <c r="A10" s="448"/>
      <c r="B10" s="460"/>
      <c r="C10" s="197" t="s">
        <v>354</v>
      </c>
      <c r="D10" s="189">
        <v>134.19999999999999</v>
      </c>
      <c r="E10" s="454"/>
      <c r="F10" s="193"/>
      <c r="G10" s="131"/>
      <c r="H10" s="429"/>
      <c r="I10" s="430"/>
      <c r="J10" s="430"/>
      <c r="K10" s="431"/>
      <c r="L10" s="431"/>
    </row>
    <row r="11" spans="1:12">
      <c r="A11" s="449"/>
      <c r="B11" s="461"/>
      <c r="C11" s="198" t="s">
        <v>348</v>
      </c>
      <c r="D11" s="189">
        <f>2*125.5</f>
        <v>251</v>
      </c>
      <c r="E11" s="454"/>
      <c r="F11" s="193"/>
      <c r="G11" s="131"/>
      <c r="H11" s="429"/>
      <c r="I11" s="430"/>
      <c r="J11" s="430"/>
      <c r="K11" s="431"/>
      <c r="L11" s="427"/>
    </row>
    <row r="12" spans="1:12">
      <c r="A12" s="129" t="s">
        <v>355</v>
      </c>
      <c r="B12" s="129" t="s">
        <v>49</v>
      </c>
      <c r="C12" s="199" t="s">
        <v>356</v>
      </c>
      <c r="D12" s="189">
        <v>352</v>
      </c>
      <c r="E12" s="189">
        <f>D12</f>
        <v>352</v>
      </c>
      <c r="F12" s="200"/>
      <c r="G12" s="10"/>
      <c r="H12" s="427"/>
      <c r="I12" s="430"/>
      <c r="J12" s="430"/>
      <c r="K12" s="431"/>
      <c r="L12" s="427"/>
    </row>
    <row r="13" spans="1:12">
      <c r="A13" s="462" t="s">
        <v>357</v>
      </c>
      <c r="B13" s="463" t="s">
        <v>300</v>
      </c>
      <c r="C13" s="196" t="s">
        <v>358</v>
      </c>
      <c r="D13" s="189">
        <v>390</v>
      </c>
      <c r="E13" s="453">
        <f>SUM(D13:D15)</f>
        <v>649.70000000000005</v>
      </c>
      <c r="F13" s="190"/>
      <c r="G13" s="191"/>
      <c r="H13" s="428"/>
      <c r="I13" s="455"/>
      <c r="J13" s="430"/>
      <c r="K13" s="456"/>
      <c r="L13" s="427"/>
    </row>
    <row r="14" spans="1:12">
      <c r="A14" s="462"/>
      <c r="B14" s="463"/>
      <c r="C14" s="197" t="s">
        <v>359</v>
      </c>
      <c r="D14" s="189">
        <v>125.5</v>
      </c>
      <c r="E14" s="454"/>
      <c r="F14" s="193"/>
      <c r="G14" s="131"/>
      <c r="H14" s="429"/>
      <c r="I14" s="455"/>
      <c r="J14" s="430"/>
      <c r="K14" s="456"/>
      <c r="L14" s="427"/>
    </row>
    <row r="15" spans="1:12">
      <c r="A15" s="462"/>
      <c r="B15" s="463"/>
      <c r="C15" s="198" t="s">
        <v>354</v>
      </c>
      <c r="D15" s="189">
        <v>134.19999999999999</v>
      </c>
      <c r="E15" s="454"/>
      <c r="F15" s="193"/>
      <c r="G15" s="131"/>
      <c r="H15" s="429"/>
      <c r="I15" s="455"/>
      <c r="J15" s="430"/>
      <c r="K15" s="456"/>
      <c r="L15" s="427"/>
    </row>
    <row r="16" spans="1:12">
      <c r="A16" s="447" t="s">
        <v>360</v>
      </c>
      <c r="B16" s="450" t="s">
        <v>305</v>
      </c>
      <c r="C16" s="197" t="s">
        <v>361</v>
      </c>
      <c r="D16" s="189">
        <v>454</v>
      </c>
      <c r="E16" s="453">
        <f>SUM(D16:D18)</f>
        <v>713.7</v>
      </c>
      <c r="F16" s="190"/>
      <c r="G16" s="191"/>
      <c r="H16" s="428"/>
      <c r="I16" s="455"/>
      <c r="J16" s="430"/>
      <c r="K16" s="456"/>
      <c r="L16" s="427"/>
    </row>
    <row r="17" spans="1:12">
      <c r="A17" s="448"/>
      <c r="B17" s="451"/>
      <c r="C17" s="197" t="s">
        <v>359</v>
      </c>
      <c r="D17" s="189">
        <v>125.5</v>
      </c>
      <c r="E17" s="453"/>
      <c r="F17" s="190"/>
      <c r="G17" s="191"/>
      <c r="H17" s="428"/>
      <c r="I17" s="455"/>
      <c r="J17" s="430"/>
      <c r="K17" s="456"/>
      <c r="L17" s="427"/>
    </row>
    <row r="18" spans="1:12">
      <c r="A18" s="449"/>
      <c r="B18" s="452"/>
      <c r="C18" s="197" t="s">
        <v>354</v>
      </c>
      <c r="D18" s="189">
        <v>134.19999999999999</v>
      </c>
      <c r="E18" s="453"/>
      <c r="F18" s="190"/>
      <c r="G18" s="191"/>
      <c r="H18" s="428"/>
      <c r="I18" s="455"/>
      <c r="J18" s="430"/>
      <c r="K18" s="456"/>
      <c r="L18" s="427"/>
    </row>
    <row r="19" spans="1:12">
      <c r="A19" s="454" t="s">
        <v>362</v>
      </c>
      <c r="B19" s="454" t="s">
        <v>308</v>
      </c>
      <c r="C19" s="196" t="s">
        <v>363</v>
      </c>
      <c r="D19" s="457">
        <v>325</v>
      </c>
      <c r="E19" s="453">
        <f>SUM(D19:D20)</f>
        <v>325</v>
      </c>
      <c r="F19" s="190"/>
      <c r="G19" s="191"/>
      <c r="H19" s="428"/>
      <c r="I19" s="455"/>
      <c r="J19" s="430"/>
      <c r="K19" s="456"/>
      <c r="L19" s="427"/>
    </row>
    <row r="20" spans="1:12">
      <c r="A20" s="454"/>
      <c r="B20" s="454"/>
      <c r="C20" s="198" t="s">
        <v>364</v>
      </c>
      <c r="D20" s="458"/>
      <c r="E20" s="454"/>
      <c r="F20" s="193"/>
      <c r="G20" s="131"/>
      <c r="H20" s="429"/>
      <c r="I20" s="455"/>
      <c r="J20" s="427"/>
      <c r="K20" s="456"/>
      <c r="L20" s="427"/>
    </row>
    <row r="21" spans="1:12">
      <c r="A21" s="130" t="s">
        <v>365</v>
      </c>
      <c r="B21" s="130" t="s">
        <v>288</v>
      </c>
      <c r="C21" s="201" t="s">
        <v>366</v>
      </c>
      <c r="D21" s="202">
        <v>125</v>
      </c>
      <c r="E21" s="189">
        <f>D21</f>
        <v>125</v>
      </c>
      <c r="F21" s="200"/>
      <c r="G21" s="10"/>
      <c r="H21" s="427"/>
      <c r="I21" s="427"/>
      <c r="J21" s="427"/>
      <c r="K21" s="431"/>
      <c r="L21" s="427"/>
    </row>
    <row r="22" spans="1:12" ht="15" customHeight="1">
      <c r="A22" s="447" t="s">
        <v>367</v>
      </c>
      <c r="B22" s="450" t="s">
        <v>291</v>
      </c>
      <c r="C22" s="196" t="s">
        <v>368</v>
      </c>
      <c r="D22" s="189">
        <f>165.6*2</f>
        <v>331.2</v>
      </c>
      <c r="E22" s="453">
        <f>SUM(D22:D24)</f>
        <v>987.6</v>
      </c>
      <c r="F22" s="190"/>
      <c r="G22" s="191"/>
      <c r="H22" s="428"/>
      <c r="I22" s="455"/>
      <c r="J22" s="427"/>
      <c r="K22" s="456"/>
      <c r="L22" s="427"/>
    </row>
    <row r="23" spans="1:12">
      <c r="A23" s="448"/>
      <c r="B23" s="451"/>
      <c r="C23" s="197" t="s">
        <v>475</v>
      </c>
      <c r="D23" s="189">
        <f>103.2*2</f>
        <v>206.4</v>
      </c>
      <c r="E23" s="454"/>
      <c r="F23" s="193"/>
      <c r="G23" s="131"/>
      <c r="H23" s="429"/>
      <c r="I23" s="455"/>
      <c r="J23" s="427"/>
      <c r="K23" s="456"/>
      <c r="L23" s="427"/>
    </row>
    <row r="24" spans="1:12">
      <c r="A24" s="449"/>
      <c r="B24" s="452"/>
      <c r="C24" s="203" t="s">
        <v>369</v>
      </c>
      <c r="D24" s="202">
        <v>450</v>
      </c>
      <c r="E24" s="454"/>
      <c r="F24" s="193"/>
      <c r="G24" s="131"/>
      <c r="H24" s="429"/>
      <c r="I24" s="455"/>
      <c r="J24" s="427"/>
      <c r="K24" s="456"/>
      <c r="L24" s="427"/>
    </row>
    <row r="25" spans="1:12">
      <c r="A25" s="454" t="s">
        <v>370</v>
      </c>
      <c r="B25" s="454" t="s">
        <v>294</v>
      </c>
      <c r="C25" s="204" t="s">
        <v>371</v>
      </c>
      <c r="D25" s="202">
        <f>144.1*2</f>
        <v>288.2</v>
      </c>
      <c r="E25" s="453">
        <f>SUM(D25:D26)</f>
        <v>825</v>
      </c>
      <c r="F25" s="190"/>
      <c r="G25" s="191"/>
      <c r="H25" s="428"/>
      <c r="I25" s="455"/>
      <c r="J25" s="427"/>
      <c r="K25" s="456"/>
      <c r="L25" s="427"/>
    </row>
    <row r="26" spans="1:12">
      <c r="A26" s="454"/>
      <c r="B26" s="454"/>
      <c r="C26" s="205" t="s">
        <v>372</v>
      </c>
      <c r="D26" s="202">
        <f>4*134.2</f>
        <v>536.79999999999995</v>
      </c>
      <c r="E26" s="454"/>
      <c r="F26" s="193"/>
      <c r="G26" s="131"/>
      <c r="H26" s="429"/>
      <c r="I26" s="455"/>
      <c r="J26" s="427"/>
      <c r="K26" s="456"/>
      <c r="L26" s="427"/>
    </row>
    <row r="27" spans="1:12">
      <c r="H27" s="427"/>
      <c r="I27" s="427"/>
      <c r="J27" s="427"/>
      <c r="K27" s="427"/>
      <c r="L27" s="427"/>
    </row>
    <row r="28" spans="1:12">
      <c r="H28" s="427"/>
      <c r="I28" s="427"/>
      <c r="J28" s="427"/>
      <c r="K28" s="427"/>
      <c r="L28" s="427"/>
    </row>
    <row r="29" spans="1:12">
      <c r="H29" s="427"/>
      <c r="I29" s="427"/>
      <c r="J29" s="427"/>
      <c r="K29" s="427"/>
      <c r="L29" s="427"/>
    </row>
    <row r="30" spans="1:12">
      <c r="H30" s="427"/>
      <c r="I30" s="427"/>
      <c r="J30" s="427"/>
      <c r="K30" s="427"/>
      <c r="L30" s="427"/>
    </row>
    <row r="31" spans="1:12">
      <c r="H31" s="427"/>
      <c r="I31" s="427"/>
      <c r="J31" s="427"/>
      <c r="K31" s="427"/>
      <c r="L31" s="427"/>
    </row>
  </sheetData>
  <mergeCells count="39">
    <mergeCell ref="A7:A8"/>
    <mergeCell ref="B7:B8"/>
    <mergeCell ref="E7:E8"/>
    <mergeCell ref="I7:I8"/>
    <mergeCell ref="K7:K8"/>
    <mergeCell ref="A5:A6"/>
    <mergeCell ref="B5:B6"/>
    <mergeCell ref="E5:E6"/>
    <mergeCell ref="I5:I6"/>
    <mergeCell ref="K5:K6"/>
    <mergeCell ref="A9:A11"/>
    <mergeCell ref="B9:B11"/>
    <mergeCell ref="E9:E11"/>
    <mergeCell ref="A13:A15"/>
    <mergeCell ref="B13:B15"/>
    <mergeCell ref="E13:E15"/>
    <mergeCell ref="K19:K20"/>
    <mergeCell ref="I13:I15"/>
    <mergeCell ref="K13:K15"/>
    <mergeCell ref="A16:A18"/>
    <mergeCell ref="B16:B18"/>
    <mergeCell ref="E16:E18"/>
    <mergeCell ref="I16:I18"/>
    <mergeCell ref="K16:K18"/>
    <mergeCell ref="A19:A20"/>
    <mergeCell ref="B19:B20"/>
    <mergeCell ref="D19:D20"/>
    <mergeCell ref="E19:E20"/>
    <mergeCell ref="I19:I20"/>
    <mergeCell ref="A25:A26"/>
    <mergeCell ref="B25:B26"/>
    <mergeCell ref="E25:E26"/>
    <mergeCell ref="I25:I26"/>
    <mergeCell ref="K25:K26"/>
    <mergeCell ref="A22:A24"/>
    <mergeCell ref="B22:B24"/>
    <mergeCell ref="E22:E24"/>
    <mergeCell ref="I22:I24"/>
    <mergeCell ref="K22:K24"/>
  </mergeCells>
  <pageMargins left="0.47" right="0.32"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4:H39"/>
  <sheetViews>
    <sheetView topLeftCell="A25" workbookViewId="0">
      <selection activeCell="L36" sqref="L36"/>
    </sheetView>
  </sheetViews>
  <sheetFormatPr baseColWidth="10" defaultRowHeight="15"/>
  <cols>
    <col min="1" max="1" width="6.7109375" customWidth="1"/>
    <col min="2" max="2" width="22.7109375" customWidth="1"/>
    <col min="3" max="3" width="6.7109375" customWidth="1"/>
    <col min="4" max="4" width="9.140625" bestFit="1" customWidth="1"/>
    <col min="5" max="5" width="10" customWidth="1"/>
    <col min="6" max="6" width="6.140625" customWidth="1"/>
    <col min="7" max="7" width="14.5703125" customWidth="1"/>
    <col min="8" max="8" width="14" customWidth="1"/>
  </cols>
  <sheetData>
    <row r="4" spans="1:8" ht="15.75">
      <c r="A4" s="164" t="s">
        <v>45</v>
      </c>
      <c r="B4" s="164" t="s">
        <v>286</v>
      </c>
      <c r="C4" s="307" t="s">
        <v>445</v>
      </c>
      <c r="D4" s="307" t="s">
        <v>446</v>
      </c>
      <c r="E4" s="307" t="s">
        <v>448</v>
      </c>
      <c r="F4" s="307" t="s">
        <v>447</v>
      </c>
      <c r="G4" s="464" t="s">
        <v>287</v>
      </c>
      <c r="H4" s="464"/>
    </row>
    <row r="5" spans="1:8">
      <c r="A5" s="165" t="s">
        <v>288</v>
      </c>
      <c r="B5" s="166" t="s">
        <v>289</v>
      </c>
      <c r="C5" s="167" t="s">
        <v>290</v>
      </c>
      <c r="D5" s="167">
        <v>100</v>
      </c>
      <c r="E5" s="168">
        <f>Recursos!E5</f>
        <v>365.2</v>
      </c>
      <c r="F5" s="169">
        <f>8*20</f>
        <v>160</v>
      </c>
      <c r="G5" s="168">
        <f t="shared" ref="G5:G33" si="0">E5*F5</f>
        <v>58432</v>
      </c>
      <c r="H5" s="168">
        <f>G5</f>
        <v>58432</v>
      </c>
    </row>
    <row r="6" spans="1:8">
      <c r="A6" s="465" t="s">
        <v>291</v>
      </c>
      <c r="B6" s="485" t="s">
        <v>292</v>
      </c>
      <c r="C6" s="170" t="s">
        <v>293</v>
      </c>
      <c r="D6" s="170">
        <v>100</v>
      </c>
      <c r="E6" s="171">
        <f>Recursos!E9</f>
        <v>529.29999999999995</v>
      </c>
      <c r="F6" s="170">
        <f>8*30</f>
        <v>240</v>
      </c>
      <c r="G6" s="171">
        <f t="shared" si="0"/>
        <v>127031.99999999999</v>
      </c>
      <c r="H6" s="469">
        <f>SUM(G6:G7)</f>
        <v>211512</v>
      </c>
    </row>
    <row r="7" spans="1:8">
      <c r="A7" s="466"/>
      <c r="B7" s="486"/>
      <c r="C7" s="170" t="s">
        <v>49</v>
      </c>
      <c r="D7" s="170">
        <v>100</v>
      </c>
      <c r="E7" s="171">
        <f>Recursos!E12</f>
        <v>352</v>
      </c>
      <c r="F7" s="170">
        <f>8*30</f>
        <v>240</v>
      </c>
      <c r="G7" s="171">
        <f t="shared" si="0"/>
        <v>84480</v>
      </c>
      <c r="H7" s="470"/>
    </row>
    <row r="8" spans="1:8">
      <c r="A8" s="471" t="s">
        <v>294</v>
      </c>
      <c r="B8" s="483" t="s">
        <v>295</v>
      </c>
      <c r="C8" s="169" t="s">
        <v>293</v>
      </c>
      <c r="D8" s="169">
        <v>50</v>
      </c>
      <c r="E8" s="168">
        <f>Recursos!E9*0.5</f>
        <v>264.64999999999998</v>
      </c>
      <c r="F8" s="169">
        <f>8*95</f>
        <v>760</v>
      </c>
      <c r="G8" s="168">
        <f t="shared" si="0"/>
        <v>201133.99999999997</v>
      </c>
      <c r="H8" s="475">
        <f>SUM(G8:G9)</f>
        <v>468654</v>
      </c>
    </row>
    <row r="9" spans="1:8">
      <c r="A9" s="472"/>
      <c r="B9" s="484"/>
      <c r="C9" s="169" t="s">
        <v>49</v>
      </c>
      <c r="D9" s="169">
        <v>100</v>
      </c>
      <c r="E9" s="168">
        <f>Recursos!E12</f>
        <v>352</v>
      </c>
      <c r="F9" s="169">
        <f>8*95</f>
        <v>760</v>
      </c>
      <c r="G9" s="168">
        <f t="shared" si="0"/>
        <v>267520</v>
      </c>
      <c r="H9" s="476"/>
    </row>
    <row r="10" spans="1:8">
      <c r="A10" s="172" t="s">
        <v>296</v>
      </c>
      <c r="B10" s="173" t="s">
        <v>47</v>
      </c>
      <c r="C10" s="170" t="s">
        <v>297</v>
      </c>
      <c r="D10" s="170">
        <v>100</v>
      </c>
      <c r="E10" s="171">
        <f>Recursos!E7</f>
        <v>573</v>
      </c>
      <c r="F10" s="170">
        <f>8*25</f>
        <v>200</v>
      </c>
      <c r="G10" s="171">
        <f t="shared" si="0"/>
        <v>114600</v>
      </c>
      <c r="H10" s="171">
        <f>G10</f>
        <v>114600</v>
      </c>
    </row>
    <row r="11" spans="1:8">
      <c r="A11" s="471" t="s">
        <v>298</v>
      </c>
      <c r="B11" s="483" t="s">
        <v>299</v>
      </c>
      <c r="C11" s="169" t="s">
        <v>293</v>
      </c>
      <c r="D11" s="169">
        <v>50</v>
      </c>
      <c r="E11" s="168">
        <f>Recursos!E9*0.5</f>
        <v>264.64999999999998</v>
      </c>
      <c r="F11" s="169">
        <f>8*25</f>
        <v>200</v>
      </c>
      <c r="G11" s="168">
        <f t="shared" si="0"/>
        <v>52929.999999999993</v>
      </c>
      <c r="H11" s="475">
        <f t="shared" ref="H11:H13" si="1">SUM(G11:G12)</f>
        <v>182870</v>
      </c>
    </row>
    <row r="12" spans="1:8">
      <c r="A12" s="472"/>
      <c r="B12" s="484"/>
      <c r="C12" s="169" t="s">
        <v>300</v>
      </c>
      <c r="D12" s="169">
        <v>100</v>
      </c>
      <c r="E12" s="168">
        <f>Recursos!E13</f>
        <v>649.70000000000005</v>
      </c>
      <c r="F12" s="169">
        <f>8*25</f>
        <v>200</v>
      </c>
      <c r="G12" s="168">
        <f t="shared" si="0"/>
        <v>129940.00000000001</v>
      </c>
      <c r="H12" s="476"/>
    </row>
    <row r="13" spans="1:8">
      <c r="A13" s="465" t="s">
        <v>301</v>
      </c>
      <c r="B13" s="467" t="s">
        <v>302</v>
      </c>
      <c r="C13" s="170" t="s">
        <v>293</v>
      </c>
      <c r="D13" s="170">
        <v>50</v>
      </c>
      <c r="E13" s="168">
        <f>Recursos!E9*0.5</f>
        <v>264.64999999999998</v>
      </c>
      <c r="F13" s="170">
        <f>8*5</f>
        <v>40</v>
      </c>
      <c r="G13" s="171">
        <f t="shared" si="0"/>
        <v>10586</v>
      </c>
      <c r="H13" s="469">
        <f t="shared" si="1"/>
        <v>15586</v>
      </c>
    </row>
    <row r="14" spans="1:8">
      <c r="A14" s="466"/>
      <c r="B14" s="468"/>
      <c r="C14" s="170" t="s">
        <v>288</v>
      </c>
      <c r="D14" s="170">
        <v>100</v>
      </c>
      <c r="E14" s="171">
        <f>Recursos!E21</f>
        <v>125</v>
      </c>
      <c r="F14" s="170">
        <f>8*5</f>
        <v>40</v>
      </c>
      <c r="G14" s="171">
        <f t="shared" si="0"/>
        <v>5000</v>
      </c>
      <c r="H14" s="470"/>
    </row>
    <row r="15" spans="1:8">
      <c r="A15" s="471" t="s">
        <v>303</v>
      </c>
      <c r="B15" s="473" t="s">
        <v>304</v>
      </c>
      <c r="C15" s="169" t="s">
        <v>305</v>
      </c>
      <c r="D15" s="169">
        <v>100</v>
      </c>
      <c r="E15" s="168">
        <f>Recursos!E16</f>
        <v>713.7</v>
      </c>
      <c r="F15" s="169">
        <f>8*40</f>
        <v>320</v>
      </c>
      <c r="G15" s="168">
        <f t="shared" si="0"/>
        <v>228384</v>
      </c>
      <c r="H15" s="475">
        <f t="shared" ref="H15" si="2">SUM(G15:G16)</f>
        <v>270728</v>
      </c>
    </row>
    <row r="16" spans="1:8">
      <c r="A16" s="472"/>
      <c r="B16" s="474"/>
      <c r="C16" s="169" t="s">
        <v>293</v>
      </c>
      <c r="D16" s="169">
        <v>25</v>
      </c>
      <c r="E16" s="168">
        <f>Recursos!E9*0.25</f>
        <v>132.32499999999999</v>
      </c>
      <c r="F16" s="169">
        <f>8*40</f>
        <v>320</v>
      </c>
      <c r="G16" s="168">
        <f t="shared" si="0"/>
        <v>42344</v>
      </c>
      <c r="H16" s="476"/>
    </row>
    <row r="17" spans="1:8">
      <c r="A17" s="465" t="s">
        <v>306</v>
      </c>
      <c r="B17" s="467" t="s">
        <v>307</v>
      </c>
      <c r="C17" s="170" t="s">
        <v>308</v>
      </c>
      <c r="D17" s="170">
        <v>100</v>
      </c>
      <c r="E17" s="171">
        <f>Recursos!E19</f>
        <v>325</v>
      </c>
      <c r="F17" s="170">
        <f>8*30</f>
        <v>240</v>
      </c>
      <c r="G17" s="171">
        <f t="shared" si="0"/>
        <v>78000</v>
      </c>
      <c r="H17" s="469">
        <f>SUM(G17:G18)</f>
        <v>276000</v>
      </c>
    </row>
    <row r="18" spans="1:8">
      <c r="A18" s="466"/>
      <c r="B18" s="468"/>
      <c r="C18" s="170" t="s">
        <v>294</v>
      </c>
      <c r="D18" s="170">
        <v>100</v>
      </c>
      <c r="E18" s="171">
        <f>Recursos!E25</f>
        <v>825</v>
      </c>
      <c r="F18" s="170">
        <f>8*30</f>
        <v>240</v>
      </c>
      <c r="G18" s="171">
        <f t="shared" si="0"/>
        <v>198000</v>
      </c>
      <c r="H18" s="470"/>
    </row>
    <row r="19" spans="1:8">
      <c r="A19" s="165" t="s">
        <v>48</v>
      </c>
      <c r="B19" s="166" t="s">
        <v>309</v>
      </c>
      <c r="C19" s="169" t="s">
        <v>293</v>
      </c>
      <c r="D19" s="169">
        <v>25</v>
      </c>
      <c r="E19" s="168">
        <f>Recursos!E9*0.25</f>
        <v>132.32499999999999</v>
      </c>
      <c r="F19" s="169">
        <f>8*40</f>
        <v>320</v>
      </c>
      <c r="G19" s="168">
        <f t="shared" si="0"/>
        <v>42344</v>
      </c>
      <c r="H19" s="168">
        <f>G19</f>
        <v>42344</v>
      </c>
    </row>
    <row r="20" spans="1:8">
      <c r="A20" s="465" t="s">
        <v>310</v>
      </c>
      <c r="B20" s="467" t="s">
        <v>311</v>
      </c>
      <c r="C20" s="170" t="s">
        <v>294</v>
      </c>
      <c r="D20" s="170">
        <v>100</v>
      </c>
      <c r="E20" s="171">
        <f>Recursos!E25</f>
        <v>825</v>
      </c>
      <c r="F20" s="170">
        <f>8*15</f>
        <v>120</v>
      </c>
      <c r="G20" s="171">
        <f t="shared" si="0"/>
        <v>99000</v>
      </c>
      <c r="H20" s="469">
        <f t="shared" ref="H20" si="3">SUM(G20:G21)</f>
        <v>176964</v>
      </c>
    </row>
    <row r="21" spans="1:8">
      <c r="A21" s="466"/>
      <c r="B21" s="468"/>
      <c r="C21" s="170" t="s">
        <v>300</v>
      </c>
      <c r="D21" s="170">
        <v>100</v>
      </c>
      <c r="E21" s="171">
        <f>Recursos!E13</f>
        <v>649.70000000000005</v>
      </c>
      <c r="F21" s="170">
        <f>8*15</f>
        <v>120</v>
      </c>
      <c r="G21" s="171">
        <f t="shared" si="0"/>
        <v>77964</v>
      </c>
      <c r="H21" s="470"/>
    </row>
    <row r="22" spans="1:8">
      <c r="A22" s="471" t="s">
        <v>312</v>
      </c>
      <c r="B22" s="473" t="s">
        <v>313</v>
      </c>
      <c r="C22" s="169" t="s">
        <v>294</v>
      </c>
      <c r="D22" s="169">
        <v>100</v>
      </c>
      <c r="E22" s="168">
        <f>Recursos!E25</f>
        <v>825</v>
      </c>
      <c r="F22" s="169">
        <f>8*4</f>
        <v>32</v>
      </c>
      <c r="G22" s="168">
        <f t="shared" si="0"/>
        <v>26400</v>
      </c>
      <c r="H22" s="475">
        <f>SUM(G22:G23)</f>
        <v>47190.400000000001</v>
      </c>
    </row>
    <row r="23" spans="1:8">
      <c r="A23" s="472"/>
      <c r="B23" s="474"/>
      <c r="C23" s="169" t="s">
        <v>300</v>
      </c>
      <c r="D23" s="169">
        <v>100</v>
      </c>
      <c r="E23" s="168">
        <f>Recursos!E13</f>
        <v>649.70000000000005</v>
      </c>
      <c r="F23" s="169">
        <f>8*4</f>
        <v>32</v>
      </c>
      <c r="G23" s="168">
        <f t="shared" si="0"/>
        <v>20790.400000000001</v>
      </c>
      <c r="H23" s="476"/>
    </row>
    <row r="24" spans="1:8" ht="15" customHeight="1">
      <c r="A24" s="465" t="s">
        <v>314</v>
      </c>
      <c r="B24" s="467" t="s">
        <v>315</v>
      </c>
      <c r="C24" s="170" t="s">
        <v>297</v>
      </c>
      <c r="D24" s="170">
        <v>100</v>
      </c>
      <c r="E24" s="171">
        <f>Recursos!E7</f>
        <v>573</v>
      </c>
      <c r="F24" s="170">
        <f>8*10</f>
        <v>80</v>
      </c>
      <c r="G24" s="171">
        <f t="shared" si="0"/>
        <v>45840</v>
      </c>
      <c r="H24" s="469">
        <f t="shared" ref="H24" si="4">SUM(G24:G26)</f>
        <v>77012</v>
      </c>
    </row>
    <row r="25" spans="1:8">
      <c r="A25" s="477"/>
      <c r="B25" s="478"/>
      <c r="C25" s="170" t="s">
        <v>288</v>
      </c>
      <c r="D25" s="170">
        <v>100</v>
      </c>
      <c r="E25" s="171">
        <f>Recursos!E21</f>
        <v>125</v>
      </c>
      <c r="F25" s="170">
        <f>8*10</f>
        <v>80</v>
      </c>
      <c r="G25" s="171">
        <f>E25*F25</f>
        <v>10000</v>
      </c>
      <c r="H25" s="479"/>
    </row>
    <row r="26" spans="1:8">
      <c r="A26" s="466"/>
      <c r="B26" s="468"/>
      <c r="C26" s="170" t="s">
        <v>293</v>
      </c>
      <c r="D26" s="170">
        <v>50</v>
      </c>
      <c r="E26" s="171">
        <f>Recursos!E9*0.5</f>
        <v>264.64999999999998</v>
      </c>
      <c r="F26" s="170">
        <f t="shared" ref="F26:F29" si="5">8*10</f>
        <v>80</v>
      </c>
      <c r="G26" s="171">
        <f t="shared" si="0"/>
        <v>21172</v>
      </c>
      <c r="H26" s="470"/>
    </row>
    <row r="27" spans="1:8" ht="15" customHeight="1">
      <c r="A27" s="471" t="s">
        <v>316</v>
      </c>
      <c r="B27" s="473" t="s">
        <v>317</v>
      </c>
      <c r="C27" s="169" t="s">
        <v>297</v>
      </c>
      <c r="D27" s="169">
        <v>100</v>
      </c>
      <c r="E27" s="168">
        <f>Recursos!E7</f>
        <v>573</v>
      </c>
      <c r="F27" s="169">
        <f t="shared" si="5"/>
        <v>80</v>
      </c>
      <c r="G27" s="168">
        <f t="shared" si="0"/>
        <v>45840</v>
      </c>
      <c r="H27" s="475">
        <f>SUM(G27:G29)</f>
        <v>66426</v>
      </c>
    </row>
    <row r="28" spans="1:8">
      <c r="A28" s="480"/>
      <c r="B28" s="481"/>
      <c r="C28" s="169" t="s">
        <v>288</v>
      </c>
      <c r="D28" s="169">
        <v>100</v>
      </c>
      <c r="E28" s="168">
        <f>Recursos!E21</f>
        <v>125</v>
      </c>
      <c r="F28" s="169">
        <f t="shared" si="5"/>
        <v>80</v>
      </c>
      <c r="G28" s="168">
        <f>E28*F28</f>
        <v>10000</v>
      </c>
      <c r="H28" s="482"/>
    </row>
    <row r="29" spans="1:8">
      <c r="A29" s="472"/>
      <c r="B29" s="474"/>
      <c r="C29" s="169" t="s">
        <v>293</v>
      </c>
      <c r="D29" s="169">
        <v>25</v>
      </c>
      <c r="E29" s="168">
        <f>Recursos!E9*0.25</f>
        <v>132.32499999999999</v>
      </c>
      <c r="F29" s="169">
        <f t="shared" si="5"/>
        <v>80</v>
      </c>
      <c r="G29" s="168">
        <f t="shared" si="0"/>
        <v>10586</v>
      </c>
      <c r="H29" s="476"/>
    </row>
    <row r="30" spans="1:8">
      <c r="A30" s="465" t="s">
        <v>318</v>
      </c>
      <c r="B30" s="467" t="s">
        <v>319</v>
      </c>
      <c r="C30" s="170" t="s">
        <v>291</v>
      </c>
      <c r="D30" s="170">
        <v>100</v>
      </c>
      <c r="E30" s="171">
        <f>Recursos!E22</f>
        <v>987.6</v>
      </c>
      <c r="F30" s="170">
        <f>8*15</f>
        <v>120</v>
      </c>
      <c r="G30" s="171">
        <f t="shared" si="0"/>
        <v>118512</v>
      </c>
      <c r="H30" s="469">
        <f>SUM(G30:G31)</f>
        <v>134391</v>
      </c>
    </row>
    <row r="31" spans="1:8">
      <c r="A31" s="466"/>
      <c r="B31" s="468"/>
      <c r="C31" s="170" t="s">
        <v>293</v>
      </c>
      <c r="D31" s="170">
        <v>25</v>
      </c>
      <c r="E31" s="171">
        <f>Recursos!E9*0.25</f>
        <v>132.32499999999999</v>
      </c>
      <c r="F31" s="170">
        <f>8*15</f>
        <v>120</v>
      </c>
      <c r="G31" s="171">
        <f t="shared" si="0"/>
        <v>15878.999999999998</v>
      </c>
      <c r="H31" s="470"/>
    </row>
    <row r="32" spans="1:8">
      <c r="A32" s="471" t="s">
        <v>320</v>
      </c>
      <c r="B32" s="473" t="s">
        <v>321</v>
      </c>
      <c r="C32" s="169" t="s">
        <v>291</v>
      </c>
      <c r="D32" s="169">
        <v>100</v>
      </c>
      <c r="E32" s="168">
        <f>Recursos!E22</f>
        <v>987.6</v>
      </c>
      <c r="F32" s="169">
        <f>8*10</f>
        <v>80</v>
      </c>
      <c r="G32" s="168">
        <f t="shared" si="0"/>
        <v>79008</v>
      </c>
      <c r="H32" s="475">
        <f>SUM(G32:G33)</f>
        <v>89594</v>
      </c>
    </row>
    <row r="33" spans="1:8" ht="27" customHeight="1">
      <c r="A33" s="472"/>
      <c r="B33" s="474"/>
      <c r="C33" s="169" t="s">
        <v>293</v>
      </c>
      <c r="D33" s="169">
        <v>25</v>
      </c>
      <c r="E33" s="168">
        <f>Recursos!E9*0.25</f>
        <v>132.32499999999999</v>
      </c>
      <c r="F33" s="169">
        <f>8*10</f>
        <v>80</v>
      </c>
      <c r="G33" s="168">
        <f t="shared" si="0"/>
        <v>10586</v>
      </c>
      <c r="H33" s="476"/>
    </row>
    <row r="34" spans="1:8" ht="15.75">
      <c r="F34" s="464" t="s">
        <v>322</v>
      </c>
      <c r="G34" s="464"/>
      <c r="H34" s="174">
        <f>SUM(H5:H33)</f>
        <v>2232303.4</v>
      </c>
    </row>
    <row r="35" spans="1:8" ht="15.75">
      <c r="F35" s="464" t="s">
        <v>323</v>
      </c>
      <c r="G35" s="464"/>
      <c r="H35" s="174">
        <f>H34/9.54</f>
        <v>233994.0670859539</v>
      </c>
    </row>
    <row r="38" spans="1:8">
      <c r="A38" t="s">
        <v>443</v>
      </c>
    </row>
    <row r="39" spans="1:8">
      <c r="A39" t="s">
        <v>482</v>
      </c>
    </row>
  </sheetData>
  <mergeCells count="39">
    <mergeCell ref="G4:H4"/>
    <mergeCell ref="A6:A7"/>
    <mergeCell ref="B6:B7"/>
    <mergeCell ref="H6:H7"/>
    <mergeCell ref="A8:A9"/>
    <mergeCell ref="B8:B9"/>
    <mergeCell ref="H8:H9"/>
    <mergeCell ref="A11:A12"/>
    <mergeCell ref="B11:B12"/>
    <mergeCell ref="H11:H12"/>
    <mergeCell ref="A13:A14"/>
    <mergeCell ref="B13:B14"/>
    <mergeCell ref="H13:H14"/>
    <mergeCell ref="A15:A16"/>
    <mergeCell ref="B15:B16"/>
    <mergeCell ref="H15:H16"/>
    <mergeCell ref="A17:A18"/>
    <mergeCell ref="B17:B18"/>
    <mergeCell ref="H17:H18"/>
    <mergeCell ref="A20:A21"/>
    <mergeCell ref="B20:B21"/>
    <mergeCell ref="H20:H21"/>
    <mergeCell ref="A22:A23"/>
    <mergeCell ref="B22:B23"/>
    <mergeCell ref="H22:H23"/>
    <mergeCell ref="A24:A26"/>
    <mergeCell ref="B24:B26"/>
    <mergeCell ref="H24:H26"/>
    <mergeCell ref="A27:A29"/>
    <mergeCell ref="B27:B29"/>
    <mergeCell ref="H27:H29"/>
    <mergeCell ref="F34:G34"/>
    <mergeCell ref="F35:G35"/>
    <mergeCell ref="A30:A31"/>
    <mergeCell ref="B30:B31"/>
    <mergeCell ref="H30:H31"/>
    <mergeCell ref="A32:A33"/>
    <mergeCell ref="B32:B33"/>
    <mergeCell ref="H32:H33"/>
  </mergeCells>
  <pageMargins left="0.53" right="0.5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H73"/>
  <sheetViews>
    <sheetView topLeftCell="A52" workbookViewId="0">
      <selection activeCell="H15" sqref="H15"/>
    </sheetView>
  </sheetViews>
  <sheetFormatPr baseColWidth="10" defaultRowHeight="15"/>
  <cols>
    <col min="1" max="1" width="57.42578125" customWidth="1"/>
    <col min="2" max="2" width="10.5703125" style="4" customWidth="1"/>
    <col min="3" max="3" width="11.85546875" style="4" customWidth="1"/>
    <col min="4" max="4" width="18.28515625" style="4" customWidth="1"/>
    <col min="5" max="5" width="17.42578125" style="4" customWidth="1"/>
  </cols>
  <sheetData>
    <row r="1" spans="1:8" ht="31.5">
      <c r="A1" s="12" t="s">
        <v>0</v>
      </c>
      <c r="B1" s="13" t="s">
        <v>1</v>
      </c>
      <c r="C1" s="13" t="s">
        <v>2</v>
      </c>
      <c r="D1" s="12" t="s">
        <v>53</v>
      </c>
      <c r="E1" s="12" t="s">
        <v>54</v>
      </c>
    </row>
    <row r="2" spans="1:8" s="14" customFormat="1">
      <c r="A2" s="2" t="s">
        <v>3</v>
      </c>
      <c r="B2" s="29" t="s">
        <v>4</v>
      </c>
      <c r="C2" s="29">
        <v>23500</v>
      </c>
      <c r="D2" s="29">
        <v>11.26</v>
      </c>
      <c r="E2" s="29">
        <f>C2*D2</f>
        <v>264610</v>
      </c>
      <c r="F2"/>
      <c r="G2"/>
      <c r="H2"/>
    </row>
    <row r="3" spans="1:8">
      <c r="A3" s="2" t="s">
        <v>5</v>
      </c>
      <c r="B3" s="29" t="s">
        <v>4</v>
      </c>
      <c r="C3" s="29">
        <v>8000</v>
      </c>
      <c r="D3" s="30">
        <f>4.15/4.73</f>
        <v>0.87737843551797035</v>
      </c>
      <c r="E3" s="30">
        <f>C3*D3</f>
        <v>7019.0274841437631</v>
      </c>
    </row>
    <row r="4" spans="1:8">
      <c r="A4" s="2" t="s">
        <v>9</v>
      </c>
      <c r="B4" s="487" t="s">
        <v>46</v>
      </c>
      <c r="C4" s="31">
        <v>2</v>
      </c>
      <c r="D4" s="490">
        <f>24992/4.73</f>
        <v>5283.7209302325573</v>
      </c>
      <c r="E4" s="490">
        <f>24992/4.73</f>
        <v>5283.7209302325573</v>
      </c>
    </row>
    <row r="5" spans="1:8">
      <c r="A5" s="2" t="s">
        <v>6</v>
      </c>
      <c r="B5" s="487"/>
      <c r="C5" s="31">
        <v>1</v>
      </c>
      <c r="D5" s="490"/>
      <c r="E5" s="490"/>
    </row>
    <row r="6" spans="1:8">
      <c r="A6" s="2" t="s">
        <v>7</v>
      </c>
      <c r="B6" s="487"/>
      <c r="C6" s="31">
        <v>1</v>
      </c>
      <c r="D6" s="490"/>
      <c r="E6" s="490"/>
    </row>
    <row r="7" spans="1:8">
      <c r="A7" s="2" t="s">
        <v>8</v>
      </c>
      <c r="B7" s="487"/>
      <c r="C7" s="31">
        <v>1</v>
      </c>
      <c r="D7" s="490"/>
      <c r="E7" s="490"/>
    </row>
    <row r="8" spans="1:8">
      <c r="A8" s="2" t="s">
        <v>13</v>
      </c>
      <c r="B8" s="487"/>
      <c r="C8" s="31">
        <v>3</v>
      </c>
      <c r="D8" s="490"/>
      <c r="E8" s="490"/>
    </row>
    <row r="9" spans="1:8">
      <c r="A9" s="2" t="s">
        <v>11</v>
      </c>
      <c r="B9" s="487" t="s">
        <v>46</v>
      </c>
      <c r="C9" s="31">
        <v>2</v>
      </c>
      <c r="D9" s="490">
        <f>22364/4.73</f>
        <v>4728.1183932346721</v>
      </c>
      <c r="E9" s="490">
        <f>D9*3</f>
        <v>14184.355179704016</v>
      </c>
    </row>
    <row r="10" spans="1:8">
      <c r="A10" s="2" t="s">
        <v>6</v>
      </c>
      <c r="B10" s="487"/>
      <c r="C10" s="31">
        <v>1</v>
      </c>
      <c r="D10" s="490"/>
      <c r="E10" s="490"/>
    </row>
    <row r="11" spans="1:8">
      <c r="A11" s="2" t="s">
        <v>7</v>
      </c>
      <c r="B11" s="487"/>
      <c r="C11" s="31">
        <v>1</v>
      </c>
      <c r="D11" s="490"/>
      <c r="E11" s="490"/>
    </row>
    <row r="12" spans="1:8">
      <c r="A12" s="2" t="s">
        <v>8</v>
      </c>
      <c r="B12" s="487"/>
      <c r="C12" s="31">
        <v>1</v>
      </c>
      <c r="D12" s="490"/>
      <c r="E12" s="490"/>
    </row>
    <row r="13" spans="1:8">
      <c r="A13" s="2" t="s">
        <v>13</v>
      </c>
      <c r="B13" s="487"/>
      <c r="C13" s="31">
        <v>3</v>
      </c>
      <c r="D13" s="490"/>
      <c r="E13" s="490"/>
    </row>
    <row r="14" spans="1:8">
      <c r="A14" s="2" t="s">
        <v>12</v>
      </c>
      <c r="B14" s="487" t="s">
        <v>46</v>
      </c>
      <c r="C14" s="31">
        <v>2</v>
      </c>
      <c r="D14" s="490">
        <f>19346/4.73</f>
        <v>4090.0634249471454</v>
      </c>
      <c r="E14" s="490">
        <f>19346/4.83</f>
        <v>4005.3830227743269</v>
      </c>
    </row>
    <row r="15" spans="1:8">
      <c r="A15" s="2" t="s">
        <v>6</v>
      </c>
      <c r="B15" s="487"/>
      <c r="C15" s="31">
        <v>1</v>
      </c>
      <c r="D15" s="490"/>
      <c r="E15" s="490"/>
    </row>
    <row r="16" spans="1:8">
      <c r="A16" s="2" t="s">
        <v>7</v>
      </c>
      <c r="B16" s="487"/>
      <c r="C16" s="31">
        <v>1</v>
      </c>
      <c r="D16" s="490"/>
      <c r="E16" s="490"/>
    </row>
    <row r="17" spans="1:7">
      <c r="A17" s="2" t="s">
        <v>8</v>
      </c>
      <c r="B17" s="487"/>
      <c r="C17" s="31">
        <v>1</v>
      </c>
      <c r="D17" s="490"/>
      <c r="E17" s="490"/>
    </row>
    <row r="18" spans="1:7">
      <c r="A18" s="2" t="s">
        <v>13</v>
      </c>
      <c r="B18" s="487"/>
      <c r="C18" s="31">
        <v>3</v>
      </c>
      <c r="D18" s="490"/>
      <c r="E18" s="490"/>
    </row>
    <row r="19" spans="1:7">
      <c r="A19" s="2" t="s">
        <v>51</v>
      </c>
      <c r="B19" s="487" t="s">
        <v>46</v>
      </c>
      <c r="C19" s="31">
        <v>2</v>
      </c>
      <c r="D19" s="490">
        <f>21980/4.73</f>
        <v>4646.9344608879492</v>
      </c>
      <c r="E19" s="490">
        <f>D19*4</f>
        <v>18587.737843551797</v>
      </c>
    </row>
    <row r="20" spans="1:7">
      <c r="A20" s="2" t="s">
        <v>6</v>
      </c>
      <c r="B20" s="487"/>
      <c r="C20" s="31">
        <v>1</v>
      </c>
      <c r="D20" s="490"/>
      <c r="E20" s="490"/>
    </row>
    <row r="21" spans="1:7">
      <c r="A21" s="2" t="s">
        <v>7</v>
      </c>
      <c r="B21" s="487"/>
      <c r="C21" s="31">
        <v>1</v>
      </c>
      <c r="D21" s="490"/>
      <c r="E21" s="490"/>
      <c r="F21" s="14"/>
      <c r="G21" s="14"/>
    </row>
    <row r="22" spans="1:7">
      <c r="A22" s="2" t="s">
        <v>8</v>
      </c>
      <c r="B22" s="487"/>
      <c r="C22" s="31">
        <v>1</v>
      </c>
      <c r="D22" s="490"/>
      <c r="E22" s="490"/>
      <c r="F22" s="14"/>
      <c r="G22" s="14"/>
    </row>
    <row r="23" spans="1:7">
      <c r="A23" s="2" t="s">
        <v>50</v>
      </c>
      <c r="B23" s="487"/>
      <c r="C23" s="31">
        <v>1</v>
      </c>
      <c r="D23" s="490"/>
      <c r="E23" s="490"/>
    </row>
    <row r="24" spans="1:7">
      <c r="A24" s="2" t="s">
        <v>14</v>
      </c>
      <c r="B24" s="487"/>
      <c r="C24" s="31">
        <v>1</v>
      </c>
      <c r="D24" s="490"/>
      <c r="E24" s="490"/>
    </row>
    <row r="25" spans="1:7">
      <c r="A25" s="2" t="s">
        <v>10</v>
      </c>
      <c r="B25" s="29" t="s">
        <v>55</v>
      </c>
      <c r="C25" s="29">
        <v>68</v>
      </c>
      <c r="D25" s="30">
        <f>7200/4.73</f>
        <v>1522.198731501057</v>
      </c>
      <c r="E25" s="30">
        <f t="shared" ref="E25:E31" si="0">C25*D25</f>
        <v>103509.51374207187</v>
      </c>
    </row>
    <row r="26" spans="1:7" s="14" customFormat="1">
      <c r="A26" s="2" t="s">
        <v>15</v>
      </c>
      <c r="B26" s="29" t="s">
        <v>55</v>
      </c>
      <c r="C26" s="29">
        <v>8</v>
      </c>
      <c r="D26" s="29">
        <v>12.88</v>
      </c>
      <c r="E26" s="29">
        <f t="shared" si="0"/>
        <v>103.04</v>
      </c>
      <c r="F26" s="15"/>
    </row>
    <row r="27" spans="1:7">
      <c r="A27" s="2" t="s">
        <v>16</v>
      </c>
      <c r="B27" s="29" t="s">
        <v>55</v>
      </c>
      <c r="C27" s="29">
        <v>42</v>
      </c>
      <c r="D27" s="29">
        <v>37.4</v>
      </c>
      <c r="E27" s="29">
        <f t="shared" si="0"/>
        <v>1570.8</v>
      </c>
    </row>
    <row r="28" spans="1:7">
      <c r="A28" s="2" t="s">
        <v>56</v>
      </c>
      <c r="B28" s="29" t="s">
        <v>55</v>
      </c>
      <c r="C28" s="29">
        <v>204</v>
      </c>
      <c r="D28" s="29">
        <v>117.2</v>
      </c>
      <c r="E28" s="29">
        <f t="shared" si="0"/>
        <v>23908.799999999999</v>
      </c>
    </row>
    <row r="29" spans="1:7">
      <c r="A29" s="2" t="s">
        <v>64</v>
      </c>
      <c r="B29" s="29" t="s">
        <v>55</v>
      </c>
      <c r="C29" s="29">
        <v>250</v>
      </c>
      <c r="D29" s="30">
        <f>51.47/4.73</f>
        <v>10.881606765327694</v>
      </c>
      <c r="E29" s="30">
        <f t="shared" si="0"/>
        <v>2720.4016913319238</v>
      </c>
    </row>
    <row r="30" spans="1:7">
      <c r="A30" s="3" t="s">
        <v>17</v>
      </c>
      <c r="B30" s="29" t="s">
        <v>55</v>
      </c>
      <c r="C30" s="29">
        <v>42</v>
      </c>
      <c r="D30" s="30">
        <f>99.91/4.73</f>
        <v>21.122621564482028</v>
      </c>
      <c r="E30" s="30">
        <f t="shared" si="0"/>
        <v>887.15010570824518</v>
      </c>
    </row>
    <row r="31" spans="1:7">
      <c r="A31" s="32" t="s">
        <v>57</v>
      </c>
      <c r="B31" s="29" t="s">
        <v>55</v>
      </c>
      <c r="C31" s="29">
        <v>172</v>
      </c>
      <c r="D31" s="30">
        <f>115.45/4.73</f>
        <v>24.408033826638476</v>
      </c>
      <c r="E31" s="30">
        <f t="shared" si="0"/>
        <v>4198.181818181818</v>
      </c>
    </row>
    <row r="32" spans="1:7">
      <c r="A32" s="2" t="s">
        <v>60</v>
      </c>
      <c r="B32" s="29" t="s">
        <v>55</v>
      </c>
      <c r="C32" s="29">
        <v>86</v>
      </c>
      <c r="D32" s="30">
        <f>16.31/4.73</f>
        <v>3.4482029598308661</v>
      </c>
      <c r="E32" s="30">
        <f t="shared" ref="E32:E34" si="1">C32*D32</f>
        <v>296.5454545454545</v>
      </c>
    </row>
    <row r="33" spans="1:7">
      <c r="A33" s="2" t="s">
        <v>61</v>
      </c>
      <c r="B33" s="29" t="s">
        <v>55</v>
      </c>
      <c r="C33" s="29">
        <v>86</v>
      </c>
      <c r="D33" s="30">
        <f>8.3/4.73</f>
        <v>1.7547568710359407</v>
      </c>
      <c r="E33" s="30">
        <f t="shared" si="1"/>
        <v>150.90909090909091</v>
      </c>
    </row>
    <row r="34" spans="1:7">
      <c r="A34" s="2" t="s">
        <v>62</v>
      </c>
      <c r="B34" s="29" t="s">
        <v>55</v>
      </c>
      <c r="C34" s="29">
        <v>54</v>
      </c>
      <c r="D34" s="30">
        <f>2.41/4.73</f>
        <v>0.5095137420718816</v>
      </c>
      <c r="E34" s="30">
        <f t="shared" si="1"/>
        <v>27.513742071881605</v>
      </c>
    </row>
    <row r="35" spans="1:7">
      <c r="A35" s="3" t="s">
        <v>63</v>
      </c>
      <c r="B35" s="29" t="s">
        <v>4</v>
      </c>
      <c r="C35" s="29">
        <v>860</v>
      </c>
      <c r="D35" s="30">
        <f>23.73/4.73</f>
        <v>5.0169133192388999</v>
      </c>
      <c r="E35" s="30">
        <f t="shared" ref="E35:E46" si="2">C35*D35</f>
        <v>4314.545454545454</v>
      </c>
      <c r="G35" s="14"/>
    </row>
    <row r="36" spans="1:7">
      <c r="A36" s="3" t="s">
        <v>18</v>
      </c>
      <c r="B36" s="29" t="s">
        <v>4</v>
      </c>
      <c r="C36" s="29">
        <v>255</v>
      </c>
      <c r="D36" s="29">
        <v>3</v>
      </c>
      <c r="E36" s="30">
        <f t="shared" si="2"/>
        <v>765</v>
      </c>
      <c r="G36" s="14"/>
    </row>
    <row r="37" spans="1:7">
      <c r="A37" s="3" t="s">
        <v>19</v>
      </c>
      <c r="B37" s="29" t="s">
        <v>55</v>
      </c>
      <c r="C37" s="29">
        <f>85+195+20+85</f>
        <v>385</v>
      </c>
      <c r="D37" s="30">
        <f>17.29/4.73</f>
        <v>3.655391120507399</v>
      </c>
      <c r="E37" s="30">
        <f t="shared" si="2"/>
        <v>1407.3255813953485</v>
      </c>
      <c r="G37" s="14"/>
    </row>
    <row r="38" spans="1:7">
      <c r="A38" s="3" t="s">
        <v>20</v>
      </c>
      <c r="B38" s="29" t="s">
        <v>55</v>
      </c>
      <c r="C38" s="29">
        <f>65+195</f>
        <v>260</v>
      </c>
      <c r="D38" s="30">
        <f>16.17/4.73</f>
        <v>3.4186046511627906</v>
      </c>
      <c r="E38" s="30">
        <f t="shared" si="2"/>
        <v>888.8372093023255</v>
      </c>
      <c r="G38" s="14"/>
    </row>
    <row r="39" spans="1:7">
      <c r="A39" s="3" t="s">
        <v>59</v>
      </c>
      <c r="B39" s="29" t="s">
        <v>55</v>
      </c>
      <c r="C39" s="29">
        <f>101+195+20</f>
        <v>316</v>
      </c>
      <c r="D39" s="30">
        <f>4.47/4.73</f>
        <v>0.94503171247357276</v>
      </c>
      <c r="E39" s="30">
        <f t="shared" si="2"/>
        <v>298.63002114164897</v>
      </c>
      <c r="G39" s="14"/>
    </row>
    <row r="40" spans="1:7">
      <c r="A40" s="32" t="s">
        <v>58</v>
      </c>
      <c r="B40" s="29" t="s">
        <v>55</v>
      </c>
      <c r="C40" s="29">
        <v>68</v>
      </c>
      <c r="D40" s="30">
        <f>50.23/4.73</f>
        <v>10.619450317124734</v>
      </c>
      <c r="E40" s="30">
        <f t="shared" si="2"/>
        <v>722.12262156448196</v>
      </c>
      <c r="G40" s="14"/>
    </row>
    <row r="41" spans="1:7">
      <c r="A41" s="3" t="s">
        <v>21</v>
      </c>
      <c r="B41" s="29" t="s">
        <v>55</v>
      </c>
      <c r="C41" s="29">
        <v>14</v>
      </c>
      <c r="D41" s="30">
        <f>68.63/4.73</f>
        <v>14.50951374207188</v>
      </c>
      <c r="E41" s="30">
        <f t="shared" si="2"/>
        <v>203.13319238900633</v>
      </c>
      <c r="G41" s="14"/>
    </row>
    <row r="42" spans="1:7">
      <c r="A42" s="3" t="s">
        <v>22</v>
      </c>
      <c r="B42" s="29" t="s">
        <v>55</v>
      </c>
      <c r="C42" s="29">
        <v>14</v>
      </c>
      <c r="D42" s="30">
        <f>53.2/4.73</f>
        <v>11.247357293868921</v>
      </c>
      <c r="E42" s="30">
        <f t="shared" si="2"/>
        <v>157.46300211416491</v>
      </c>
      <c r="G42" s="14"/>
    </row>
    <row r="43" spans="1:7">
      <c r="A43" s="3" t="s">
        <v>23</v>
      </c>
      <c r="B43" s="29" t="s">
        <v>55</v>
      </c>
      <c r="C43" s="29">
        <v>18</v>
      </c>
      <c r="D43" s="30">
        <f>19.63/4.73</f>
        <v>4.1501057082452428</v>
      </c>
      <c r="E43" s="30">
        <f t="shared" si="2"/>
        <v>74.701902748414369</v>
      </c>
      <c r="G43" s="14"/>
    </row>
    <row r="44" spans="1:7">
      <c r="A44" s="3" t="s">
        <v>24</v>
      </c>
      <c r="B44" s="29" t="s">
        <v>55</v>
      </c>
      <c r="C44" s="29">
        <v>260</v>
      </c>
      <c r="D44" s="29">
        <v>19.54</v>
      </c>
      <c r="E44" s="30">
        <f t="shared" si="2"/>
        <v>5080.3999999999996</v>
      </c>
      <c r="G44" s="14"/>
    </row>
    <row r="45" spans="1:7">
      <c r="A45" s="3" t="s">
        <v>25</v>
      </c>
      <c r="B45" s="29" t="s">
        <v>55</v>
      </c>
      <c r="C45" s="29">
        <v>520</v>
      </c>
      <c r="D45" s="30">
        <f>4.47/4.73</f>
        <v>0.94503171247357276</v>
      </c>
      <c r="E45" s="30">
        <f t="shared" si="2"/>
        <v>491.41649048625783</v>
      </c>
      <c r="G45" s="14"/>
    </row>
    <row r="46" spans="1:7">
      <c r="A46" s="3" t="s">
        <v>26</v>
      </c>
      <c r="B46" s="29" t="s">
        <v>4</v>
      </c>
      <c r="C46" s="29">
        <v>160</v>
      </c>
      <c r="D46" s="30">
        <f>4.15/4.73</f>
        <v>0.87737843551797035</v>
      </c>
      <c r="E46" s="30">
        <f t="shared" si="2"/>
        <v>140.38054968287526</v>
      </c>
      <c r="G46" s="14"/>
    </row>
    <row r="47" spans="1:7">
      <c r="A47" s="3" t="s">
        <v>425</v>
      </c>
      <c r="B47" s="29" t="s">
        <v>4</v>
      </c>
      <c r="C47" s="29">
        <v>1400</v>
      </c>
      <c r="D47" s="29">
        <v>18.399999999999999</v>
      </c>
      <c r="E47" s="29">
        <f>C47*D47</f>
        <v>25759.999999999996</v>
      </c>
      <c r="G47" s="14"/>
    </row>
    <row r="48" spans="1:7">
      <c r="A48" s="3" t="s">
        <v>27</v>
      </c>
      <c r="B48" s="29" t="s">
        <v>55</v>
      </c>
      <c r="C48" s="29">
        <v>12</v>
      </c>
      <c r="D48" s="29">
        <v>275.86</v>
      </c>
      <c r="E48" s="29">
        <f>C48*D48</f>
        <v>3310.32</v>
      </c>
      <c r="G48" s="14"/>
    </row>
    <row r="49" spans="1:7">
      <c r="A49" s="3" t="s">
        <v>28</v>
      </c>
      <c r="B49" s="29" t="s">
        <v>4</v>
      </c>
      <c r="C49" s="29">
        <v>18</v>
      </c>
      <c r="D49" s="29">
        <v>4.25</v>
      </c>
      <c r="E49" s="29">
        <f t="shared" ref="E49:E68" si="3">C49*D49</f>
        <v>76.5</v>
      </c>
      <c r="G49" s="14"/>
    </row>
    <row r="50" spans="1:7">
      <c r="A50" s="3" t="s">
        <v>29</v>
      </c>
      <c r="B50" s="29" t="s">
        <v>4</v>
      </c>
      <c r="C50" s="29">
        <v>15</v>
      </c>
      <c r="D50" s="29">
        <v>8.6199999999999992</v>
      </c>
      <c r="E50" s="29">
        <f t="shared" si="3"/>
        <v>129.29999999999998</v>
      </c>
      <c r="G50" s="14"/>
    </row>
    <row r="51" spans="1:7">
      <c r="A51" s="3" t="s">
        <v>30</v>
      </c>
      <c r="B51" s="29" t="s">
        <v>4</v>
      </c>
      <c r="C51" s="29">
        <v>3</v>
      </c>
      <c r="D51" s="29">
        <v>3.45</v>
      </c>
      <c r="E51" s="29">
        <f t="shared" si="3"/>
        <v>10.350000000000001</v>
      </c>
      <c r="G51" s="14"/>
    </row>
    <row r="52" spans="1:7">
      <c r="A52" s="3" t="s">
        <v>424</v>
      </c>
      <c r="B52" s="29" t="s">
        <v>55</v>
      </c>
      <c r="C52" s="29">
        <v>16</v>
      </c>
      <c r="D52" s="29">
        <v>112.65</v>
      </c>
      <c r="E52" s="29">
        <f t="shared" si="3"/>
        <v>1802.4</v>
      </c>
      <c r="G52" s="14"/>
    </row>
    <row r="53" spans="1:7">
      <c r="A53" s="3" t="s">
        <v>73</v>
      </c>
      <c r="B53" s="29" t="s">
        <v>4</v>
      </c>
      <c r="C53" s="29">
        <v>35</v>
      </c>
      <c r="D53" s="29">
        <v>27.72</v>
      </c>
      <c r="E53" s="29">
        <f t="shared" si="3"/>
        <v>970.19999999999993</v>
      </c>
      <c r="G53" s="14"/>
    </row>
    <row r="54" spans="1:7">
      <c r="A54" s="3" t="s">
        <v>31</v>
      </c>
      <c r="B54" s="29" t="s">
        <v>55</v>
      </c>
      <c r="C54" s="29">
        <v>25</v>
      </c>
      <c r="D54" s="29">
        <v>3.45</v>
      </c>
      <c r="E54" s="29">
        <f t="shared" si="3"/>
        <v>86.25</v>
      </c>
      <c r="G54" s="14"/>
    </row>
    <row r="55" spans="1:7">
      <c r="A55" s="33" t="s">
        <v>32</v>
      </c>
      <c r="B55" s="29" t="s">
        <v>55</v>
      </c>
      <c r="C55" s="29">
        <v>3</v>
      </c>
      <c r="D55" s="29">
        <v>5.17</v>
      </c>
      <c r="E55" s="29">
        <f t="shared" si="3"/>
        <v>15.51</v>
      </c>
      <c r="G55" s="14"/>
    </row>
    <row r="56" spans="1:7">
      <c r="A56" s="33" t="s">
        <v>33</v>
      </c>
      <c r="B56" s="29" t="s">
        <v>55</v>
      </c>
      <c r="C56" s="29">
        <v>12</v>
      </c>
      <c r="D56" s="29">
        <v>9.77</v>
      </c>
      <c r="E56" s="29">
        <f t="shared" si="3"/>
        <v>117.24</v>
      </c>
      <c r="G56" s="14"/>
    </row>
    <row r="57" spans="1:7">
      <c r="A57" s="33" t="s">
        <v>34</v>
      </c>
      <c r="B57" s="29" t="s">
        <v>55</v>
      </c>
      <c r="C57" s="29">
        <v>9</v>
      </c>
      <c r="D57" s="29">
        <v>16.100000000000001</v>
      </c>
      <c r="E57" s="29">
        <f t="shared" si="3"/>
        <v>144.9</v>
      </c>
      <c r="G57" s="14"/>
    </row>
    <row r="58" spans="1:7">
      <c r="A58" s="33" t="s">
        <v>35</v>
      </c>
      <c r="B58" s="29" t="s">
        <v>55</v>
      </c>
      <c r="C58" s="29">
        <v>3</v>
      </c>
      <c r="D58" s="29">
        <v>8.9700000000000006</v>
      </c>
      <c r="E58" s="29">
        <f t="shared" si="3"/>
        <v>26.910000000000004</v>
      </c>
      <c r="G58" s="14"/>
    </row>
    <row r="59" spans="1:7">
      <c r="A59" s="33" t="s">
        <v>36</v>
      </c>
      <c r="B59" s="29" t="s">
        <v>55</v>
      </c>
      <c r="C59" s="29">
        <v>12</v>
      </c>
      <c r="D59" s="29">
        <v>64.37</v>
      </c>
      <c r="E59" s="29">
        <f t="shared" si="3"/>
        <v>772.44</v>
      </c>
      <c r="G59" s="14"/>
    </row>
    <row r="60" spans="1:7">
      <c r="A60" s="33" t="s">
        <v>37</v>
      </c>
      <c r="B60" s="29" t="s">
        <v>55</v>
      </c>
      <c r="C60" s="29">
        <v>300</v>
      </c>
      <c r="D60" s="29">
        <v>0.86</v>
      </c>
      <c r="E60" s="29">
        <f t="shared" si="3"/>
        <v>258</v>
      </c>
      <c r="G60" s="14"/>
    </row>
    <row r="61" spans="1:7">
      <c r="A61" s="33" t="s">
        <v>38</v>
      </c>
      <c r="B61" s="29" t="s">
        <v>55</v>
      </c>
      <c r="C61" s="29">
        <v>2100</v>
      </c>
      <c r="D61" s="29">
        <v>0.25</v>
      </c>
      <c r="E61" s="29">
        <f t="shared" si="3"/>
        <v>525</v>
      </c>
      <c r="G61" s="14"/>
    </row>
    <row r="62" spans="1:7" ht="30">
      <c r="A62" s="34" t="s">
        <v>65</v>
      </c>
      <c r="B62" s="31" t="s">
        <v>55</v>
      </c>
      <c r="C62" s="31">
        <v>1</v>
      </c>
      <c r="D62" s="31">
        <v>30000</v>
      </c>
      <c r="E62" s="31">
        <f t="shared" si="3"/>
        <v>30000</v>
      </c>
      <c r="G62" s="14"/>
    </row>
    <row r="63" spans="1:7">
      <c r="A63" s="33" t="s">
        <v>39</v>
      </c>
      <c r="B63" s="29" t="s">
        <v>55</v>
      </c>
      <c r="C63" s="29">
        <v>1</v>
      </c>
      <c r="D63" s="29">
        <v>1840</v>
      </c>
      <c r="E63" s="29">
        <f t="shared" si="3"/>
        <v>1840</v>
      </c>
      <c r="G63" s="14"/>
    </row>
    <row r="64" spans="1:7">
      <c r="A64" s="33" t="s">
        <v>40</v>
      </c>
      <c r="B64" s="29" t="s">
        <v>55</v>
      </c>
      <c r="C64" s="29">
        <v>1</v>
      </c>
      <c r="D64" s="29">
        <v>2070</v>
      </c>
      <c r="E64" s="29">
        <f t="shared" si="3"/>
        <v>2070</v>
      </c>
      <c r="G64" s="14"/>
    </row>
    <row r="65" spans="1:7">
      <c r="A65" s="33" t="s">
        <v>41</v>
      </c>
      <c r="B65" s="29" t="s">
        <v>55</v>
      </c>
      <c r="C65" s="29">
        <v>1</v>
      </c>
      <c r="D65" s="29">
        <v>2070</v>
      </c>
      <c r="E65" s="29">
        <f t="shared" si="3"/>
        <v>2070</v>
      </c>
      <c r="G65" s="14"/>
    </row>
    <row r="66" spans="1:7">
      <c r="A66" s="33" t="s">
        <v>42</v>
      </c>
      <c r="B66" s="29" t="s">
        <v>55</v>
      </c>
      <c r="C66" s="29">
        <v>2</v>
      </c>
      <c r="D66" s="29">
        <v>184</v>
      </c>
      <c r="E66" s="29">
        <f t="shared" si="3"/>
        <v>368</v>
      </c>
      <c r="G66" s="14"/>
    </row>
    <row r="67" spans="1:7">
      <c r="A67" s="2" t="s">
        <v>43</v>
      </c>
      <c r="B67" s="29" t="s">
        <v>55</v>
      </c>
      <c r="C67" s="29">
        <v>2</v>
      </c>
      <c r="D67" s="29">
        <v>241.4</v>
      </c>
      <c r="E67" s="29">
        <f t="shared" si="3"/>
        <v>482.8</v>
      </c>
    </row>
    <row r="68" spans="1:7">
      <c r="A68" s="33" t="s">
        <v>52</v>
      </c>
      <c r="B68" s="29" t="s">
        <v>44</v>
      </c>
      <c r="C68" s="29">
        <v>167</v>
      </c>
      <c r="D68" s="29">
        <v>112.65</v>
      </c>
      <c r="E68" s="29">
        <f t="shared" si="3"/>
        <v>18812.55</v>
      </c>
    </row>
    <row r="70" spans="1:7">
      <c r="C70" s="488" t="s">
        <v>74</v>
      </c>
      <c r="D70" s="489"/>
      <c r="E70" s="35">
        <f>SUM(E25:E69)</f>
        <v>241565.48167019023</v>
      </c>
    </row>
    <row r="73" spans="1:7">
      <c r="A73" t="s">
        <v>442</v>
      </c>
    </row>
  </sheetData>
  <mergeCells count="13">
    <mergeCell ref="E19:E24"/>
    <mergeCell ref="E4:E8"/>
    <mergeCell ref="D9:D13"/>
    <mergeCell ref="E9:E13"/>
    <mergeCell ref="D14:D18"/>
    <mergeCell ref="E14:E18"/>
    <mergeCell ref="B19:B24"/>
    <mergeCell ref="B14:B18"/>
    <mergeCell ref="B4:B8"/>
    <mergeCell ref="B9:B13"/>
    <mergeCell ref="C70:D70"/>
    <mergeCell ref="D4:D8"/>
    <mergeCell ref="D19:D24"/>
  </mergeCells>
  <pageMargins left="0.72" right="0.4" top="0.49" bottom="0.4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dimension ref="D5:E18"/>
  <sheetViews>
    <sheetView topLeftCell="A3" workbookViewId="0">
      <selection activeCell="F21" sqref="F21"/>
    </sheetView>
  </sheetViews>
  <sheetFormatPr baseColWidth="10" defaultRowHeight="15"/>
  <cols>
    <col min="4" max="4" width="40.5703125" bestFit="1" customWidth="1"/>
    <col min="5" max="5" width="15.42578125" customWidth="1"/>
  </cols>
  <sheetData>
    <row r="5" spans="4:5" ht="24.75" customHeight="1">
      <c r="D5" s="19" t="s">
        <v>66</v>
      </c>
      <c r="E5" s="20">
        <f>'COSTO MATERIALES'!E70</f>
        <v>241565.48167019023</v>
      </c>
    </row>
    <row r="6" spans="4:5" ht="13.5" customHeight="1">
      <c r="D6" s="21"/>
      <c r="E6" s="22"/>
    </row>
    <row r="7" spans="4:5" ht="22.5" customHeight="1">
      <c r="D7" s="19" t="s">
        <v>67</v>
      </c>
      <c r="E7" s="20">
        <f>'[1]Presupuesto M.O.'!$H$35</f>
        <v>233994.0670859539</v>
      </c>
    </row>
    <row r="8" spans="4:5" ht="12.75" customHeight="1">
      <c r="D8" s="21"/>
      <c r="E8" s="22"/>
    </row>
    <row r="9" spans="4:5" ht="21.75" customHeight="1">
      <c r="D9" s="19" t="s">
        <v>71</v>
      </c>
      <c r="E9" s="20">
        <f>SUM(E5:E7)</f>
        <v>475559.54875614413</v>
      </c>
    </row>
    <row r="10" spans="4:5" ht="13.5" customHeight="1">
      <c r="E10" s="18"/>
    </row>
    <row r="11" spans="4:5" ht="24.75" customHeight="1">
      <c r="D11" s="19" t="s">
        <v>68</v>
      </c>
      <c r="E11" s="20">
        <f>E9*5%</f>
        <v>23777.977437807207</v>
      </c>
    </row>
    <row r="12" spans="4:5">
      <c r="D12" s="17"/>
      <c r="E12" s="18"/>
    </row>
    <row r="13" spans="4:5" ht="22.5" customHeight="1">
      <c r="D13" s="19" t="s">
        <v>71</v>
      </c>
      <c r="E13" s="20">
        <f>SUM(E9:E11)</f>
        <v>499337.52619395131</v>
      </c>
    </row>
    <row r="14" spans="4:5">
      <c r="D14" s="17"/>
      <c r="E14" s="16"/>
    </row>
    <row r="15" spans="4:5" ht="24" customHeight="1">
      <c r="D15" s="25" t="s">
        <v>70</v>
      </c>
      <c r="E15" s="26">
        <f>E13*5%</f>
        <v>24966.876309697567</v>
      </c>
    </row>
    <row r="16" spans="4:5" ht="24" customHeight="1">
      <c r="D16" s="27" t="s">
        <v>69</v>
      </c>
      <c r="E16" s="28">
        <f>E13*4%</f>
        <v>19973.501047758054</v>
      </c>
    </row>
    <row r="18" spans="4:5" ht="22.5" customHeight="1">
      <c r="D18" s="23" t="s">
        <v>72</v>
      </c>
      <c r="E18" s="24">
        <f>SUM(E13:E16)</f>
        <v>544277.90355140693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C71"/>
  <sheetViews>
    <sheetView topLeftCell="A28" zoomScaleNormal="100" workbookViewId="0">
      <selection activeCell="I34" sqref="I34"/>
    </sheetView>
  </sheetViews>
  <sheetFormatPr baseColWidth="10" defaultRowHeight="15"/>
  <cols>
    <col min="1" max="1" width="19.7109375" customWidth="1"/>
    <col min="2" max="2" width="18.7109375" bestFit="1" customWidth="1"/>
    <col min="3" max="3" width="17" customWidth="1"/>
    <col min="4" max="4" width="15.7109375" customWidth="1"/>
    <col min="5" max="5" width="17" customWidth="1"/>
    <col min="6" max="6" width="15.7109375" customWidth="1"/>
    <col min="7" max="7" width="18.5703125" bestFit="1" customWidth="1"/>
    <col min="8" max="8" width="20.42578125" bestFit="1" customWidth="1"/>
    <col min="9" max="9" width="23" customWidth="1"/>
    <col min="13" max="13" width="12.7109375" customWidth="1"/>
    <col min="14" max="14" width="14.5703125" customWidth="1"/>
    <col min="15" max="15" width="16.5703125" bestFit="1" customWidth="1"/>
    <col min="16" max="16" width="16.28515625" customWidth="1"/>
    <col min="17" max="17" width="18.5703125" bestFit="1" customWidth="1"/>
    <col min="18" max="18" width="25.140625" customWidth="1"/>
    <col min="19" max="19" width="20.5703125" customWidth="1"/>
    <col min="22" max="23" width="0" hidden="1" customWidth="1"/>
    <col min="26" max="26" width="14.85546875" customWidth="1"/>
    <col min="27" max="27" width="17.140625" customWidth="1"/>
    <col min="28" max="28" width="16.85546875" customWidth="1"/>
    <col min="29" max="29" width="19.140625" customWidth="1"/>
    <col min="30" max="30" width="26.5703125" customWidth="1"/>
    <col min="31" max="31" width="22" customWidth="1"/>
    <col min="34" max="35" width="0" hidden="1" customWidth="1"/>
    <col min="37" max="37" width="14.28515625" customWidth="1"/>
    <col min="38" max="38" width="16" customWidth="1"/>
    <col min="39" max="39" width="17.28515625" customWidth="1"/>
    <col min="40" max="40" width="15.42578125" customWidth="1"/>
    <col min="41" max="41" width="18.42578125" customWidth="1"/>
    <col min="42" max="42" width="22.7109375" customWidth="1"/>
    <col min="43" max="43" width="21" customWidth="1"/>
    <col min="45" max="45" width="12.28515625" customWidth="1"/>
    <col min="46" max="47" width="0" hidden="1" customWidth="1"/>
    <col min="50" max="50" width="16.140625" customWidth="1"/>
    <col min="51" max="51" width="16.28515625" bestFit="1" customWidth="1"/>
    <col min="52" max="52" width="14.28515625" bestFit="1" customWidth="1"/>
    <col min="53" max="53" width="18.28515625" bestFit="1" customWidth="1"/>
    <col min="54" max="54" width="23.28515625" bestFit="1" customWidth="1"/>
    <col min="55" max="55" width="19" bestFit="1" customWidth="1"/>
    <col min="58" max="59" width="0" hidden="1" customWidth="1"/>
    <col min="62" max="62" width="14.28515625" bestFit="1" customWidth="1"/>
    <col min="63" max="63" width="16.28515625" bestFit="1" customWidth="1"/>
    <col min="64" max="64" width="15" customWidth="1"/>
    <col min="65" max="65" width="18.28515625" bestFit="1" customWidth="1"/>
    <col min="66" max="66" width="23.28515625" bestFit="1" customWidth="1"/>
    <col min="67" max="67" width="19" bestFit="1" customWidth="1"/>
    <col min="70" max="71" width="0" hidden="1" customWidth="1"/>
    <col min="74" max="74" width="14.28515625" bestFit="1" customWidth="1"/>
    <col min="75" max="75" width="16.28515625" bestFit="1" customWidth="1"/>
    <col min="76" max="76" width="14.28515625" bestFit="1" customWidth="1"/>
    <col min="77" max="77" width="18.28515625" bestFit="1" customWidth="1"/>
    <col min="78" max="78" width="24.5703125" customWidth="1"/>
    <col min="79" max="79" width="19" bestFit="1" customWidth="1"/>
    <col min="82" max="83" width="0" hidden="1" customWidth="1"/>
    <col min="86" max="86" width="14.28515625" bestFit="1" customWidth="1"/>
    <col min="87" max="87" width="16.28515625" bestFit="1" customWidth="1"/>
    <col min="88" max="88" width="14.28515625" bestFit="1" customWidth="1"/>
    <col min="89" max="89" width="18.28515625" bestFit="1" customWidth="1"/>
    <col min="90" max="90" width="23.28515625" bestFit="1" customWidth="1"/>
    <col min="91" max="91" width="19" bestFit="1" customWidth="1"/>
    <col min="94" max="95" width="0" hidden="1" customWidth="1"/>
    <col min="98" max="98" width="14.28515625" bestFit="1" customWidth="1"/>
    <col min="99" max="99" width="16.28515625" bestFit="1" customWidth="1"/>
    <col min="100" max="100" width="14.28515625" bestFit="1" customWidth="1"/>
    <col min="101" max="101" width="18.28515625" bestFit="1" customWidth="1"/>
    <col min="102" max="102" width="23.28515625" bestFit="1" customWidth="1"/>
    <col min="103" max="103" width="19" bestFit="1" customWidth="1"/>
    <col min="106" max="107" width="0" hidden="1" customWidth="1"/>
    <col min="110" max="110" width="14.28515625" bestFit="1" customWidth="1"/>
    <col min="111" max="111" width="16.28515625" bestFit="1" customWidth="1"/>
    <col min="112" max="112" width="14.28515625" bestFit="1" customWidth="1"/>
    <col min="113" max="113" width="18.28515625" bestFit="1" customWidth="1"/>
    <col min="114" max="114" width="23.28515625" bestFit="1" customWidth="1"/>
    <col min="115" max="115" width="19" bestFit="1" customWidth="1"/>
    <col min="118" max="119" width="0" hidden="1" customWidth="1"/>
    <col min="122" max="122" width="14.28515625" bestFit="1" customWidth="1"/>
    <col min="123" max="123" width="16.28515625" bestFit="1" customWidth="1"/>
    <col min="124" max="124" width="14.28515625" bestFit="1" customWidth="1"/>
    <col min="125" max="125" width="18.28515625" bestFit="1" customWidth="1"/>
    <col min="126" max="126" width="23.28515625" bestFit="1" customWidth="1"/>
    <col min="127" max="127" width="19" bestFit="1" customWidth="1"/>
    <col min="130" max="131" width="0" hidden="1" customWidth="1"/>
    <col min="134" max="134" width="14.28515625" bestFit="1" customWidth="1"/>
    <col min="135" max="135" width="16.28515625" bestFit="1" customWidth="1"/>
    <col min="136" max="136" width="14.28515625" bestFit="1" customWidth="1"/>
    <col min="137" max="137" width="18.28515625" bestFit="1" customWidth="1"/>
    <col min="138" max="138" width="23.28515625" bestFit="1" customWidth="1"/>
    <col min="139" max="139" width="19" bestFit="1" customWidth="1"/>
    <col min="142" max="143" width="0" hidden="1" customWidth="1"/>
    <col min="146" max="146" width="14.28515625" bestFit="1" customWidth="1"/>
    <col min="147" max="147" width="16.28515625" bestFit="1" customWidth="1"/>
    <col min="148" max="148" width="14.28515625" bestFit="1" customWidth="1"/>
    <col min="149" max="149" width="18.28515625" bestFit="1" customWidth="1"/>
    <col min="150" max="150" width="23.28515625" bestFit="1" customWidth="1"/>
    <col min="151" max="151" width="19" bestFit="1" customWidth="1"/>
    <col min="156" max="156" width="14.28515625" bestFit="1" customWidth="1"/>
    <col min="157" max="157" width="16.28515625" bestFit="1" customWidth="1"/>
    <col min="158" max="158" width="14.28515625" bestFit="1" customWidth="1"/>
    <col min="159" max="159" width="18.28515625" bestFit="1" customWidth="1"/>
    <col min="160" max="160" width="23.28515625" bestFit="1" customWidth="1"/>
    <col min="161" max="161" width="19" bestFit="1" customWidth="1"/>
    <col min="164" max="165" width="0" hidden="1" customWidth="1"/>
    <col min="168" max="168" width="14.28515625" bestFit="1" customWidth="1"/>
    <col min="169" max="169" width="16.28515625" bestFit="1" customWidth="1"/>
    <col min="170" max="170" width="14.28515625" bestFit="1" customWidth="1"/>
    <col min="171" max="171" width="18.28515625" bestFit="1" customWidth="1"/>
    <col min="172" max="172" width="23.28515625" bestFit="1" customWidth="1"/>
    <col min="173" max="173" width="19" bestFit="1" customWidth="1"/>
    <col min="176" max="177" width="0" hidden="1" customWidth="1"/>
    <col min="180" max="180" width="14.28515625" bestFit="1" customWidth="1"/>
    <col min="181" max="181" width="16.28515625" bestFit="1" customWidth="1"/>
    <col min="182" max="182" width="14.28515625" bestFit="1" customWidth="1"/>
    <col min="183" max="183" width="18.28515625" bestFit="1" customWidth="1"/>
    <col min="184" max="184" width="23.28515625" bestFit="1" customWidth="1"/>
    <col min="185" max="185" width="19" bestFit="1" customWidth="1"/>
  </cols>
  <sheetData>
    <row r="1" spans="1:185">
      <c r="AZ1">
        <v>125</v>
      </c>
      <c r="BA1">
        <v>110</v>
      </c>
      <c r="BB1">
        <v>115</v>
      </c>
      <c r="BC1">
        <v>115</v>
      </c>
      <c r="CP1" s="45" t="s">
        <v>82</v>
      </c>
      <c r="CQ1" s="45" t="s">
        <v>83</v>
      </c>
      <c r="CR1" s="45"/>
      <c r="DA1" s="46"/>
      <c r="DB1" s="47" t="s">
        <v>83</v>
      </c>
    </row>
    <row r="2" spans="1:185">
      <c r="A2" s="607" t="s">
        <v>84</v>
      </c>
      <c r="B2" s="608"/>
      <c r="C2" s="608"/>
      <c r="D2" s="608"/>
      <c r="E2" s="608"/>
      <c r="F2" s="608"/>
      <c r="G2" s="608"/>
      <c r="H2" s="608"/>
      <c r="I2" s="609"/>
      <c r="J2" s="603" t="s">
        <v>85</v>
      </c>
      <c r="K2" s="604"/>
      <c r="L2" s="604"/>
      <c r="M2" s="604"/>
      <c r="N2" s="604"/>
      <c r="O2" s="604"/>
      <c r="P2" s="604"/>
      <c r="Q2" s="604"/>
      <c r="R2" s="604"/>
      <c r="S2" s="605"/>
      <c r="T2" s="603" t="s">
        <v>86</v>
      </c>
      <c r="U2" s="604"/>
      <c r="V2" s="604"/>
      <c r="W2" s="604"/>
      <c r="X2" s="604"/>
      <c r="Y2" s="604"/>
      <c r="Z2" s="604"/>
      <c r="AA2" s="604"/>
      <c r="AB2" s="604"/>
      <c r="AC2" s="604"/>
      <c r="AD2" s="604"/>
      <c r="AE2" s="605"/>
      <c r="AF2" s="603" t="s">
        <v>87</v>
      </c>
      <c r="AG2" s="604"/>
      <c r="AH2" s="604"/>
      <c r="AI2" s="604"/>
      <c r="AJ2" s="604"/>
      <c r="AK2" s="604"/>
      <c r="AL2" s="604"/>
      <c r="AM2" s="604"/>
      <c r="AN2" s="604"/>
      <c r="AO2" s="604"/>
      <c r="AP2" s="604"/>
      <c r="AQ2" s="605"/>
      <c r="AR2" s="603" t="s">
        <v>88</v>
      </c>
      <c r="AS2" s="604"/>
      <c r="AT2" s="604"/>
      <c r="AU2" s="604"/>
      <c r="AV2" s="604"/>
      <c r="AW2" s="604"/>
      <c r="AX2" s="604"/>
      <c r="AY2" s="604"/>
      <c r="AZ2" s="604"/>
      <c r="BA2" s="604"/>
      <c r="BB2" s="604"/>
      <c r="BC2" s="605"/>
      <c r="BD2" s="603" t="s">
        <v>89</v>
      </c>
      <c r="BE2" s="604"/>
      <c r="BF2" s="604"/>
      <c r="BG2" s="604"/>
      <c r="BH2" s="604"/>
      <c r="BI2" s="604"/>
      <c r="BJ2" s="604"/>
      <c r="BK2" s="604"/>
      <c r="BL2" s="604"/>
      <c r="BM2" s="604"/>
      <c r="BN2" s="604"/>
      <c r="BO2" s="605"/>
      <c r="BP2" s="603" t="s">
        <v>90</v>
      </c>
      <c r="BQ2" s="604"/>
      <c r="BR2" s="604"/>
      <c r="BS2" s="604"/>
      <c r="BT2" s="604"/>
      <c r="BU2" s="604"/>
      <c r="BV2" s="604"/>
      <c r="BW2" s="604"/>
      <c r="BX2" s="604"/>
      <c r="BY2" s="604"/>
      <c r="BZ2" s="604"/>
      <c r="CA2" s="605"/>
      <c r="CB2" s="603" t="s">
        <v>91</v>
      </c>
      <c r="CC2" s="604"/>
      <c r="CD2" s="604"/>
      <c r="CE2" s="604"/>
      <c r="CF2" s="604"/>
      <c r="CG2" s="604"/>
      <c r="CH2" s="604"/>
      <c r="CI2" s="604"/>
      <c r="CJ2" s="604"/>
      <c r="CK2" s="604"/>
      <c r="CL2" s="604"/>
      <c r="CM2" s="605"/>
      <c r="CN2" s="603" t="s">
        <v>92</v>
      </c>
      <c r="CO2" s="604"/>
      <c r="CP2" s="604"/>
      <c r="CQ2" s="604"/>
      <c r="CR2" s="604"/>
      <c r="CS2" s="604"/>
      <c r="CT2" s="604"/>
      <c r="CU2" s="604"/>
      <c r="CV2" s="604"/>
      <c r="CW2" s="604"/>
      <c r="CX2" s="604"/>
      <c r="CY2" s="605"/>
      <c r="CZ2" s="603" t="s">
        <v>93</v>
      </c>
      <c r="DA2" s="604"/>
      <c r="DB2" s="604"/>
      <c r="DC2" s="604"/>
      <c r="DD2" s="604"/>
      <c r="DE2" s="604"/>
      <c r="DF2" s="604"/>
      <c r="DG2" s="604"/>
      <c r="DH2" s="604"/>
      <c r="DI2" s="604"/>
      <c r="DJ2" s="604"/>
      <c r="DK2" s="605"/>
      <c r="DL2" s="603" t="s">
        <v>94</v>
      </c>
      <c r="DM2" s="604"/>
      <c r="DN2" s="604"/>
      <c r="DO2" s="604"/>
      <c r="DP2" s="604"/>
      <c r="DQ2" s="604"/>
      <c r="DR2" s="604"/>
      <c r="DS2" s="604"/>
      <c r="DT2" s="604"/>
      <c r="DU2" s="604"/>
      <c r="DV2" s="604"/>
      <c r="DW2" s="605"/>
      <c r="DX2" s="606" t="s">
        <v>95</v>
      </c>
      <c r="DY2" s="606"/>
      <c r="DZ2" s="606"/>
      <c r="EA2" s="606"/>
      <c r="EB2" s="606"/>
      <c r="EC2" s="606"/>
      <c r="ED2" s="606"/>
      <c r="EE2" s="606"/>
      <c r="EF2" s="606"/>
      <c r="EG2" s="606"/>
      <c r="EH2" s="606"/>
      <c r="EI2" s="606"/>
      <c r="EJ2" s="567" t="s">
        <v>96</v>
      </c>
      <c r="EK2" s="568"/>
      <c r="EL2" s="568"/>
      <c r="EM2" s="568"/>
      <c r="EN2" s="568"/>
      <c r="EO2" s="568"/>
      <c r="EP2" s="568"/>
      <c r="EQ2" s="568"/>
      <c r="ER2" s="568"/>
      <c r="ES2" s="568"/>
      <c r="ET2" s="568"/>
      <c r="EU2" s="569"/>
      <c r="EV2" s="570" t="s">
        <v>97</v>
      </c>
      <c r="EW2" s="571"/>
      <c r="EX2" s="571"/>
      <c r="EY2" s="571"/>
      <c r="EZ2" s="571"/>
      <c r="FA2" s="571"/>
      <c r="FB2" s="571"/>
      <c r="FC2" s="571"/>
      <c r="FD2" s="571"/>
      <c r="FE2" s="572"/>
      <c r="FF2" s="573" t="s">
        <v>98</v>
      </c>
      <c r="FG2" s="573"/>
      <c r="FH2" s="573"/>
      <c r="FI2" s="573"/>
      <c r="FJ2" s="573"/>
      <c r="FK2" s="573"/>
      <c r="FL2" s="573"/>
      <c r="FM2" s="573"/>
      <c r="FN2" s="573"/>
      <c r="FO2" s="573"/>
      <c r="FP2" s="573"/>
      <c r="FQ2" s="573"/>
      <c r="FR2" s="592" t="s">
        <v>99</v>
      </c>
      <c r="FS2" s="592"/>
      <c r="FT2" s="592"/>
      <c r="FU2" s="592"/>
      <c r="FV2" s="592"/>
      <c r="FW2" s="592"/>
      <c r="FX2" s="592"/>
      <c r="FY2" s="592"/>
      <c r="FZ2" s="592"/>
      <c r="GA2" s="592"/>
      <c r="GB2" s="592"/>
      <c r="GC2" s="592"/>
    </row>
    <row r="3" spans="1:185">
      <c r="A3" s="593" t="s">
        <v>100</v>
      </c>
      <c r="B3" s="594"/>
      <c r="C3" s="595"/>
      <c r="D3" s="593" t="s">
        <v>101</v>
      </c>
      <c r="E3" s="595"/>
      <c r="F3" s="596" t="s">
        <v>102</v>
      </c>
      <c r="G3" s="596"/>
      <c r="H3" s="596"/>
      <c r="I3" s="596"/>
      <c r="J3" s="597" t="s">
        <v>100</v>
      </c>
      <c r="K3" s="598"/>
      <c r="L3" s="598"/>
      <c r="M3" s="599"/>
      <c r="N3" s="600" t="s">
        <v>101</v>
      </c>
      <c r="O3" s="601"/>
      <c r="P3" s="600" t="s">
        <v>102</v>
      </c>
      <c r="Q3" s="602"/>
      <c r="R3" s="602"/>
      <c r="S3" s="601"/>
      <c r="T3" s="610" t="s">
        <v>100</v>
      </c>
      <c r="U3" s="611"/>
      <c r="V3" s="611"/>
      <c r="W3" s="611"/>
      <c r="X3" s="611"/>
      <c r="Y3" s="612"/>
      <c r="Z3" s="613" t="s">
        <v>101</v>
      </c>
      <c r="AA3" s="614"/>
      <c r="AB3" s="613" t="s">
        <v>102</v>
      </c>
      <c r="AC3" s="615"/>
      <c r="AD3" s="615"/>
      <c r="AE3" s="614"/>
      <c r="AF3" s="557" t="s">
        <v>100</v>
      </c>
      <c r="AG3" s="558"/>
      <c r="AH3" s="558"/>
      <c r="AI3" s="558"/>
      <c r="AJ3" s="558"/>
      <c r="AK3" s="559"/>
      <c r="AL3" s="564" t="s">
        <v>101</v>
      </c>
      <c r="AM3" s="566"/>
      <c r="AN3" s="564" t="s">
        <v>102</v>
      </c>
      <c r="AO3" s="565"/>
      <c r="AP3" s="565"/>
      <c r="AQ3" s="566"/>
      <c r="AR3" s="580" t="s">
        <v>100</v>
      </c>
      <c r="AS3" s="581"/>
      <c r="AT3" s="581"/>
      <c r="AU3" s="581"/>
      <c r="AV3" s="581"/>
      <c r="AW3" s="582"/>
      <c r="AX3" s="583" t="s">
        <v>101</v>
      </c>
      <c r="AY3" s="584"/>
      <c r="AZ3" s="583" t="s">
        <v>102</v>
      </c>
      <c r="BA3" s="585"/>
      <c r="BB3" s="585"/>
      <c r="BC3" s="584"/>
      <c r="BD3" s="586" t="s">
        <v>100</v>
      </c>
      <c r="BE3" s="587"/>
      <c r="BF3" s="587"/>
      <c r="BG3" s="587"/>
      <c r="BH3" s="587"/>
      <c r="BI3" s="588"/>
      <c r="BJ3" s="586" t="s">
        <v>101</v>
      </c>
      <c r="BK3" s="588"/>
      <c r="BL3" s="586" t="s">
        <v>102</v>
      </c>
      <c r="BM3" s="587"/>
      <c r="BN3" s="587"/>
      <c r="BO3" s="588"/>
      <c r="BP3" s="574" t="s">
        <v>100</v>
      </c>
      <c r="BQ3" s="575"/>
      <c r="BR3" s="575"/>
      <c r="BS3" s="575"/>
      <c r="BT3" s="575"/>
      <c r="BU3" s="576"/>
      <c r="BV3" s="574" t="s">
        <v>101</v>
      </c>
      <c r="BW3" s="576"/>
      <c r="BX3" s="574" t="s">
        <v>102</v>
      </c>
      <c r="BY3" s="575"/>
      <c r="BZ3" s="575"/>
      <c r="CA3" s="576"/>
      <c r="CB3" s="577" t="s">
        <v>100</v>
      </c>
      <c r="CC3" s="578"/>
      <c r="CD3" s="578"/>
      <c r="CE3" s="578"/>
      <c r="CF3" s="578"/>
      <c r="CG3" s="579"/>
      <c r="CH3" s="577" t="s">
        <v>101</v>
      </c>
      <c r="CI3" s="579"/>
      <c r="CJ3" s="577" t="s">
        <v>102</v>
      </c>
      <c r="CK3" s="578"/>
      <c r="CL3" s="578"/>
      <c r="CM3" s="579"/>
      <c r="CN3" s="551" t="s">
        <v>100</v>
      </c>
      <c r="CO3" s="552"/>
      <c r="CP3" s="552"/>
      <c r="CQ3" s="552"/>
      <c r="CR3" s="552"/>
      <c r="CS3" s="553"/>
      <c r="CT3" s="551" t="s">
        <v>101</v>
      </c>
      <c r="CU3" s="553"/>
      <c r="CV3" s="551" t="s">
        <v>102</v>
      </c>
      <c r="CW3" s="552"/>
      <c r="CX3" s="552"/>
      <c r="CY3" s="553"/>
      <c r="CZ3" s="554" t="s">
        <v>100</v>
      </c>
      <c r="DA3" s="555"/>
      <c r="DB3" s="555"/>
      <c r="DC3" s="555"/>
      <c r="DD3" s="555"/>
      <c r="DE3" s="556"/>
      <c r="DF3" s="554" t="s">
        <v>101</v>
      </c>
      <c r="DG3" s="556"/>
      <c r="DH3" s="554" t="s">
        <v>102</v>
      </c>
      <c r="DI3" s="555"/>
      <c r="DJ3" s="555"/>
      <c r="DK3" s="556"/>
      <c r="DL3" s="586" t="s">
        <v>100</v>
      </c>
      <c r="DM3" s="587"/>
      <c r="DN3" s="587"/>
      <c r="DO3" s="587"/>
      <c r="DP3" s="587"/>
      <c r="DQ3" s="588"/>
      <c r="DR3" s="586" t="s">
        <v>101</v>
      </c>
      <c r="DS3" s="588"/>
      <c r="DT3" s="586" t="s">
        <v>102</v>
      </c>
      <c r="DU3" s="587"/>
      <c r="DV3" s="587"/>
      <c r="DW3" s="588"/>
      <c r="DX3" s="589" t="s">
        <v>100</v>
      </c>
      <c r="DY3" s="590"/>
      <c r="DZ3" s="590"/>
      <c r="EA3" s="590"/>
      <c r="EB3" s="590"/>
      <c r="EC3" s="591"/>
      <c r="ED3" s="589" t="s">
        <v>101</v>
      </c>
      <c r="EE3" s="591"/>
      <c r="EF3" s="589" t="s">
        <v>102</v>
      </c>
      <c r="EG3" s="590"/>
      <c r="EH3" s="590"/>
      <c r="EI3" s="591"/>
      <c r="EJ3" s="545" t="s">
        <v>100</v>
      </c>
      <c r="EK3" s="546"/>
      <c r="EL3" s="546"/>
      <c r="EM3" s="546"/>
      <c r="EN3" s="546"/>
      <c r="EO3" s="547"/>
      <c r="EP3" s="545" t="s">
        <v>101</v>
      </c>
      <c r="EQ3" s="547"/>
      <c r="ER3" s="545" t="s">
        <v>102</v>
      </c>
      <c r="ES3" s="546"/>
      <c r="ET3" s="546"/>
      <c r="EU3" s="547"/>
      <c r="EV3" s="548" t="s">
        <v>103</v>
      </c>
      <c r="EW3" s="549"/>
      <c r="EX3" s="549"/>
      <c r="EY3" s="550"/>
      <c r="EZ3" s="548" t="s">
        <v>101</v>
      </c>
      <c r="FA3" s="550"/>
      <c r="FB3" s="548" t="s">
        <v>102</v>
      </c>
      <c r="FC3" s="549"/>
      <c r="FD3" s="549"/>
      <c r="FE3" s="550"/>
      <c r="FF3" s="557" t="s">
        <v>103</v>
      </c>
      <c r="FG3" s="558"/>
      <c r="FH3" s="558"/>
      <c r="FI3" s="558"/>
      <c r="FJ3" s="558"/>
      <c r="FK3" s="559"/>
      <c r="FL3" s="560" t="s">
        <v>101</v>
      </c>
      <c r="FM3" s="560"/>
      <c r="FN3" s="560" t="s">
        <v>102</v>
      </c>
      <c r="FO3" s="560"/>
      <c r="FP3" s="560"/>
      <c r="FQ3" s="560"/>
      <c r="FR3" s="561" t="s">
        <v>103</v>
      </c>
      <c r="FS3" s="562"/>
      <c r="FT3" s="562"/>
      <c r="FU3" s="562"/>
      <c r="FV3" s="562"/>
      <c r="FW3" s="563"/>
      <c r="FX3" s="544" t="s">
        <v>101</v>
      </c>
      <c r="FY3" s="544"/>
      <c r="FZ3" s="544" t="s">
        <v>102</v>
      </c>
      <c r="GA3" s="544"/>
      <c r="GB3" s="544"/>
      <c r="GC3" s="544"/>
    </row>
    <row r="4" spans="1:185">
      <c r="A4" s="48" t="s">
        <v>104</v>
      </c>
      <c r="B4" s="48" t="s">
        <v>105</v>
      </c>
      <c r="C4" s="48" t="s">
        <v>106</v>
      </c>
      <c r="D4" s="48" t="s">
        <v>107</v>
      </c>
      <c r="E4" s="48" t="s">
        <v>108</v>
      </c>
      <c r="F4" s="49" t="s">
        <v>107</v>
      </c>
      <c r="G4" s="49" t="s">
        <v>109</v>
      </c>
      <c r="H4" s="49" t="s">
        <v>110</v>
      </c>
      <c r="I4" s="49" t="s">
        <v>111</v>
      </c>
      <c r="J4" s="50" t="s">
        <v>104</v>
      </c>
      <c r="K4" s="50" t="s">
        <v>112</v>
      </c>
      <c r="L4" s="50" t="s">
        <v>105</v>
      </c>
      <c r="M4" s="50" t="s">
        <v>106</v>
      </c>
      <c r="N4" s="51" t="s">
        <v>107</v>
      </c>
      <c r="O4" s="51" t="s">
        <v>108</v>
      </c>
      <c r="P4" s="51" t="s">
        <v>107</v>
      </c>
      <c r="Q4" s="51" t="s">
        <v>109</v>
      </c>
      <c r="R4" s="51" t="s">
        <v>113</v>
      </c>
      <c r="S4" s="51" t="s">
        <v>111</v>
      </c>
      <c r="T4" s="52" t="s">
        <v>104</v>
      </c>
      <c r="U4" s="52" t="s">
        <v>112</v>
      </c>
      <c r="V4" s="52" t="s">
        <v>114</v>
      </c>
      <c r="W4" s="52" t="s">
        <v>106</v>
      </c>
      <c r="X4" s="52" t="s">
        <v>105</v>
      </c>
      <c r="Y4" s="52" t="s">
        <v>106</v>
      </c>
      <c r="Z4" s="53" t="s">
        <v>107</v>
      </c>
      <c r="AA4" s="53" t="s">
        <v>108</v>
      </c>
      <c r="AB4" s="53" t="s">
        <v>107</v>
      </c>
      <c r="AC4" s="53" t="s">
        <v>109</v>
      </c>
      <c r="AD4" s="53" t="s">
        <v>113</v>
      </c>
      <c r="AE4" s="53" t="s">
        <v>111</v>
      </c>
      <c r="AF4" s="54" t="s">
        <v>104</v>
      </c>
      <c r="AG4" s="54" t="s">
        <v>112</v>
      </c>
      <c r="AH4" s="54" t="s">
        <v>114</v>
      </c>
      <c r="AI4" s="54" t="s">
        <v>106</v>
      </c>
      <c r="AJ4" s="54" t="s">
        <v>105</v>
      </c>
      <c r="AK4" s="54" t="s">
        <v>106</v>
      </c>
      <c r="AL4" s="55" t="s">
        <v>107</v>
      </c>
      <c r="AM4" s="55" t="s">
        <v>108</v>
      </c>
      <c r="AN4" s="55" t="s">
        <v>107</v>
      </c>
      <c r="AO4" s="55" t="s">
        <v>109</v>
      </c>
      <c r="AP4" s="55" t="s">
        <v>113</v>
      </c>
      <c r="AQ4" s="55" t="s">
        <v>111</v>
      </c>
      <c r="AR4" s="56" t="s">
        <v>104</v>
      </c>
      <c r="AS4" s="56" t="s">
        <v>112</v>
      </c>
      <c r="AT4" s="56" t="s">
        <v>114</v>
      </c>
      <c r="AU4" s="56" t="s">
        <v>106</v>
      </c>
      <c r="AV4" s="56" t="s">
        <v>105</v>
      </c>
      <c r="AW4" s="56" t="s">
        <v>106</v>
      </c>
      <c r="AX4" s="57" t="s">
        <v>107</v>
      </c>
      <c r="AY4" s="57" t="s">
        <v>108</v>
      </c>
      <c r="AZ4" s="57" t="s">
        <v>107</v>
      </c>
      <c r="BA4" s="57" t="s">
        <v>109</v>
      </c>
      <c r="BB4" s="57" t="s">
        <v>113</v>
      </c>
      <c r="BC4" s="57" t="s">
        <v>111</v>
      </c>
      <c r="BD4" s="58" t="s">
        <v>104</v>
      </c>
      <c r="BE4" s="58" t="s">
        <v>112</v>
      </c>
      <c r="BF4" s="58" t="s">
        <v>114</v>
      </c>
      <c r="BG4" s="58" t="s">
        <v>106</v>
      </c>
      <c r="BH4" s="58" t="s">
        <v>105</v>
      </c>
      <c r="BI4" s="58" t="s">
        <v>106</v>
      </c>
      <c r="BJ4" s="59" t="s">
        <v>107</v>
      </c>
      <c r="BK4" s="59" t="s">
        <v>108</v>
      </c>
      <c r="BL4" s="59" t="s">
        <v>107</v>
      </c>
      <c r="BM4" s="59" t="s">
        <v>109</v>
      </c>
      <c r="BN4" s="59" t="s">
        <v>113</v>
      </c>
      <c r="BO4" s="59" t="s">
        <v>111</v>
      </c>
      <c r="BP4" s="60" t="s">
        <v>104</v>
      </c>
      <c r="BQ4" s="60" t="s">
        <v>112</v>
      </c>
      <c r="BR4" s="60" t="s">
        <v>114</v>
      </c>
      <c r="BS4" s="60" t="s">
        <v>106</v>
      </c>
      <c r="BT4" s="60" t="s">
        <v>105</v>
      </c>
      <c r="BU4" s="60" t="s">
        <v>106</v>
      </c>
      <c r="BV4" s="61" t="s">
        <v>107</v>
      </c>
      <c r="BW4" s="61" t="s">
        <v>108</v>
      </c>
      <c r="BX4" s="61" t="s">
        <v>107</v>
      </c>
      <c r="BY4" s="61" t="s">
        <v>109</v>
      </c>
      <c r="BZ4" s="61" t="s">
        <v>113</v>
      </c>
      <c r="CA4" s="61" t="s">
        <v>111</v>
      </c>
      <c r="CB4" s="62" t="s">
        <v>104</v>
      </c>
      <c r="CC4" s="62" t="s">
        <v>112</v>
      </c>
      <c r="CD4" s="62" t="s">
        <v>114</v>
      </c>
      <c r="CE4" s="62" t="s">
        <v>106</v>
      </c>
      <c r="CF4" s="62" t="s">
        <v>105</v>
      </c>
      <c r="CG4" s="62" t="s">
        <v>106</v>
      </c>
      <c r="CH4" s="41" t="s">
        <v>107</v>
      </c>
      <c r="CI4" s="41" t="s">
        <v>108</v>
      </c>
      <c r="CJ4" s="41" t="s">
        <v>107</v>
      </c>
      <c r="CK4" s="41" t="s">
        <v>109</v>
      </c>
      <c r="CL4" s="41" t="s">
        <v>113</v>
      </c>
      <c r="CM4" s="41" t="s">
        <v>111</v>
      </c>
      <c r="CN4" s="63" t="s">
        <v>104</v>
      </c>
      <c r="CO4" s="63" t="s">
        <v>112</v>
      </c>
      <c r="CP4" s="63" t="s">
        <v>114</v>
      </c>
      <c r="CQ4" s="63" t="s">
        <v>106</v>
      </c>
      <c r="CR4" s="63" t="s">
        <v>105</v>
      </c>
      <c r="CS4" s="63" t="s">
        <v>106</v>
      </c>
      <c r="CT4" s="64" t="s">
        <v>107</v>
      </c>
      <c r="CU4" s="64" t="s">
        <v>108</v>
      </c>
      <c r="CV4" s="64" t="s">
        <v>107</v>
      </c>
      <c r="CW4" s="64" t="s">
        <v>109</v>
      </c>
      <c r="CX4" s="64" t="s">
        <v>113</v>
      </c>
      <c r="CY4" s="64" t="s">
        <v>111</v>
      </c>
      <c r="CZ4" s="65" t="s">
        <v>104</v>
      </c>
      <c r="DA4" s="65" t="s">
        <v>112</v>
      </c>
      <c r="DB4" s="65" t="s">
        <v>114</v>
      </c>
      <c r="DC4" s="65" t="s">
        <v>106</v>
      </c>
      <c r="DD4" s="65" t="s">
        <v>105</v>
      </c>
      <c r="DE4" s="65" t="s">
        <v>106</v>
      </c>
      <c r="DF4" s="66" t="s">
        <v>107</v>
      </c>
      <c r="DG4" s="66" t="s">
        <v>108</v>
      </c>
      <c r="DH4" s="66" t="s">
        <v>107</v>
      </c>
      <c r="DI4" s="66" t="s">
        <v>109</v>
      </c>
      <c r="DJ4" s="66" t="s">
        <v>113</v>
      </c>
      <c r="DK4" s="66" t="s">
        <v>111</v>
      </c>
      <c r="DL4" s="58" t="s">
        <v>104</v>
      </c>
      <c r="DM4" s="58" t="s">
        <v>112</v>
      </c>
      <c r="DN4" s="58" t="s">
        <v>114</v>
      </c>
      <c r="DO4" s="58" t="s">
        <v>106</v>
      </c>
      <c r="DP4" s="58" t="s">
        <v>105</v>
      </c>
      <c r="DQ4" s="58" t="s">
        <v>106</v>
      </c>
      <c r="DR4" s="59" t="s">
        <v>107</v>
      </c>
      <c r="DS4" s="59" t="s">
        <v>108</v>
      </c>
      <c r="DT4" s="59" t="s">
        <v>107</v>
      </c>
      <c r="DU4" s="59" t="s">
        <v>109</v>
      </c>
      <c r="DV4" s="59" t="s">
        <v>113</v>
      </c>
      <c r="DW4" s="59" t="s">
        <v>111</v>
      </c>
      <c r="DX4" s="67" t="s">
        <v>104</v>
      </c>
      <c r="DY4" s="67" t="s">
        <v>112</v>
      </c>
      <c r="DZ4" s="67" t="s">
        <v>114</v>
      </c>
      <c r="EA4" s="67" t="s">
        <v>106</v>
      </c>
      <c r="EB4" s="67" t="s">
        <v>105</v>
      </c>
      <c r="EC4" s="67" t="s">
        <v>106</v>
      </c>
      <c r="ED4" s="68" t="s">
        <v>107</v>
      </c>
      <c r="EE4" s="68" t="s">
        <v>108</v>
      </c>
      <c r="EF4" s="68" t="s">
        <v>107</v>
      </c>
      <c r="EG4" s="68" t="s">
        <v>109</v>
      </c>
      <c r="EH4" s="68" t="s">
        <v>113</v>
      </c>
      <c r="EI4" s="68" t="s">
        <v>111</v>
      </c>
      <c r="EJ4" s="69" t="s">
        <v>104</v>
      </c>
      <c r="EK4" s="69" t="s">
        <v>112</v>
      </c>
      <c r="EL4" s="69" t="s">
        <v>114</v>
      </c>
      <c r="EM4" s="69" t="s">
        <v>106</v>
      </c>
      <c r="EN4" s="69" t="s">
        <v>115</v>
      </c>
      <c r="EO4" s="69" t="s">
        <v>106</v>
      </c>
      <c r="EP4" s="70" t="s">
        <v>107</v>
      </c>
      <c r="EQ4" s="70" t="s">
        <v>108</v>
      </c>
      <c r="ER4" s="70" t="s">
        <v>107</v>
      </c>
      <c r="ES4" s="70" t="s">
        <v>109</v>
      </c>
      <c r="ET4" s="70" t="s">
        <v>113</v>
      </c>
      <c r="EU4" s="70" t="s">
        <v>111</v>
      </c>
      <c r="EV4" s="50" t="s">
        <v>104</v>
      </c>
      <c r="EW4" s="50" t="s">
        <v>112</v>
      </c>
      <c r="EX4" s="50" t="s">
        <v>105</v>
      </c>
      <c r="EY4" s="50" t="s">
        <v>106</v>
      </c>
      <c r="EZ4" s="71" t="s">
        <v>107</v>
      </c>
      <c r="FA4" s="71" t="s">
        <v>108</v>
      </c>
      <c r="FB4" s="71" t="s">
        <v>107</v>
      </c>
      <c r="FC4" s="71" t="s">
        <v>109</v>
      </c>
      <c r="FD4" s="71" t="s">
        <v>113</v>
      </c>
      <c r="FE4" s="71" t="s">
        <v>111</v>
      </c>
      <c r="FF4" s="54" t="s">
        <v>104</v>
      </c>
      <c r="FG4" s="54" t="s">
        <v>112</v>
      </c>
      <c r="FH4" s="54" t="s">
        <v>105</v>
      </c>
      <c r="FI4" s="54" t="s">
        <v>106</v>
      </c>
      <c r="FJ4" s="54" t="s">
        <v>114</v>
      </c>
      <c r="FK4" s="54" t="s">
        <v>106</v>
      </c>
      <c r="FL4" s="72" t="s">
        <v>107</v>
      </c>
      <c r="FM4" s="72" t="s">
        <v>108</v>
      </c>
      <c r="FN4" s="72" t="s">
        <v>107</v>
      </c>
      <c r="FO4" s="72" t="s">
        <v>109</v>
      </c>
      <c r="FP4" s="72" t="s">
        <v>113</v>
      </c>
      <c r="FQ4" s="72" t="s">
        <v>111</v>
      </c>
      <c r="FR4" s="73" t="s">
        <v>104</v>
      </c>
      <c r="FS4" s="73" t="s">
        <v>112</v>
      </c>
      <c r="FT4" s="73" t="s">
        <v>114</v>
      </c>
      <c r="FU4" s="73" t="s">
        <v>106</v>
      </c>
      <c r="FV4" s="73" t="s">
        <v>115</v>
      </c>
      <c r="FW4" s="73" t="s">
        <v>106</v>
      </c>
      <c r="FX4" s="2" t="s">
        <v>107</v>
      </c>
      <c r="FY4" s="2" t="s">
        <v>108</v>
      </c>
      <c r="FZ4" s="2" t="s">
        <v>107</v>
      </c>
      <c r="GA4" s="2" t="s">
        <v>109</v>
      </c>
      <c r="GB4" s="2" t="s">
        <v>113</v>
      </c>
      <c r="GC4" s="2" t="s">
        <v>111</v>
      </c>
    </row>
    <row r="5" spans="1:185">
      <c r="A5" s="74" t="s">
        <v>116</v>
      </c>
      <c r="B5" s="74">
        <v>27.7056</v>
      </c>
      <c r="C5" s="74">
        <v>15.3864</v>
      </c>
      <c r="D5" s="531" t="s">
        <v>117</v>
      </c>
      <c r="E5" s="531">
        <f>MAX(B5:B22)</f>
        <v>35.348399999999998</v>
      </c>
      <c r="F5" s="531" t="s">
        <v>118</v>
      </c>
      <c r="G5" s="534">
        <f>(MAX(B5:B9)*5*30)</f>
        <v>4155.84</v>
      </c>
      <c r="H5" s="537"/>
      <c r="I5" s="537"/>
      <c r="J5" s="75" t="s">
        <v>119</v>
      </c>
      <c r="K5" s="75" t="s">
        <v>120</v>
      </c>
      <c r="L5" s="76">
        <v>2.7972000000000001</v>
      </c>
      <c r="M5" s="76">
        <v>0</v>
      </c>
      <c r="N5" s="529" t="s">
        <v>117</v>
      </c>
      <c r="O5" s="529">
        <f>MAX(L5:L22)</f>
        <v>14.1372</v>
      </c>
      <c r="P5" s="529" t="s">
        <v>118</v>
      </c>
      <c r="Q5" s="529">
        <f>(MAX(L5:L9)*5*30)</f>
        <v>545.4</v>
      </c>
      <c r="R5" s="529"/>
      <c r="S5" s="529"/>
      <c r="T5" s="77" t="s">
        <v>121</v>
      </c>
      <c r="U5" s="77" t="s">
        <v>120</v>
      </c>
      <c r="V5" s="77">
        <v>7.2900000000000006E-2</v>
      </c>
      <c r="W5" s="77">
        <v>0</v>
      </c>
      <c r="X5" s="77">
        <f t="shared" ref="X5:Y29" si="0">V5*50</f>
        <v>3.6450000000000005</v>
      </c>
      <c r="Y5" s="77">
        <f t="shared" si="0"/>
        <v>0</v>
      </c>
      <c r="Z5" s="527" t="s">
        <v>117</v>
      </c>
      <c r="AA5" s="527">
        <f>MAX(X5:X22)</f>
        <v>38.96</v>
      </c>
      <c r="AB5" s="527" t="s">
        <v>118</v>
      </c>
      <c r="AC5" s="527">
        <f>(MAX(X5:X9)*5*30)</f>
        <v>559.5</v>
      </c>
      <c r="AD5" s="527"/>
      <c r="AE5" s="527"/>
      <c r="AF5" s="78" t="s">
        <v>122</v>
      </c>
      <c r="AG5" s="78" t="s">
        <v>120</v>
      </c>
      <c r="AH5" s="78">
        <v>0.04</v>
      </c>
      <c r="AI5" s="78">
        <v>0</v>
      </c>
      <c r="AJ5" s="72">
        <f>50*AH5</f>
        <v>2</v>
      </c>
      <c r="AK5" s="72">
        <f>50*AI5</f>
        <v>0</v>
      </c>
      <c r="AL5" s="525" t="s">
        <v>117</v>
      </c>
      <c r="AM5" s="525">
        <f>MAX(AJ5:AJ22)</f>
        <v>86.3</v>
      </c>
      <c r="AN5" s="525" t="s">
        <v>118</v>
      </c>
      <c r="AO5" s="525">
        <f>(MAX(AJ5:AJ9)*5*30)</f>
        <v>300</v>
      </c>
      <c r="AP5" s="525"/>
      <c r="AQ5" s="525"/>
      <c r="AR5" s="79" t="s">
        <v>123</v>
      </c>
      <c r="AS5" s="79" t="s">
        <v>120</v>
      </c>
      <c r="AT5" s="79">
        <v>0.58560000000000001</v>
      </c>
      <c r="AU5" s="79">
        <v>0.40400000000000003</v>
      </c>
      <c r="AV5" s="80">
        <f>AT5*150</f>
        <v>87.84</v>
      </c>
      <c r="AW5" s="80">
        <f>AU5*150</f>
        <v>60.6</v>
      </c>
      <c r="AX5" s="523" t="s">
        <v>117</v>
      </c>
      <c r="AY5" s="523">
        <f>MAX(AV5:AV22)</f>
        <v>191.70000000000002</v>
      </c>
      <c r="AZ5" s="523" t="s">
        <v>118</v>
      </c>
      <c r="BA5" s="523">
        <f>(MAX(AV5:AV9)*5*30)</f>
        <v>28246.5</v>
      </c>
      <c r="BB5" s="523"/>
      <c r="BC5" s="523"/>
      <c r="BD5" s="81" t="s">
        <v>124</v>
      </c>
      <c r="BE5" s="81" t="s">
        <v>120</v>
      </c>
      <c r="BF5" s="82">
        <v>0.97460000000000002</v>
      </c>
      <c r="BG5" s="82">
        <v>0.72270000000000001</v>
      </c>
      <c r="BH5" s="59">
        <f>BF5*100</f>
        <v>97.460000000000008</v>
      </c>
      <c r="BI5" s="59">
        <f>BG5*100</f>
        <v>72.27</v>
      </c>
      <c r="BJ5" s="501" t="s">
        <v>117</v>
      </c>
      <c r="BK5" s="501">
        <f>MAX(BH5:BH22)</f>
        <v>111.62</v>
      </c>
      <c r="BL5" s="501" t="s">
        <v>118</v>
      </c>
      <c r="BM5" s="501">
        <f>(MAX(BH5:BH9)*5*30)</f>
        <v>14619.000000000002</v>
      </c>
      <c r="BN5" s="501"/>
      <c r="BO5" s="501"/>
      <c r="BP5" s="83" t="s">
        <v>125</v>
      </c>
      <c r="BQ5" s="83" t="s">
        <v>120</v>
      </c>
      <c r="BR5" s="83">
        <v>3.8199999999999998E-2</v>
      </c>
      <c r="BS5" s="83">
        <v>7.3000000000000001E-3</v>
      </c>
      <c r="BT5" s="61">
        <f>BR5*1200</f>
        <v>45.839999999999996</v>
      </c>
      <c r="BU5" s="61">
        <f>BS5*1200</f>
        <v>8.76</v>
      </c>
      <c r="BV5" s="520" t="s">
        <v>117</v>
      </c>
      <c r="BW5" s="520">
        <f>MAX(BT5:BT22)</f>
        <v>86.16</v>
      </c>
      <c r="BX5" s="520" t="s">
        <v>118</v>
      </c>
      <c r="BY5" s="520">
        <f>(MAX(BT5:BT9)*5*30)</f>
        <v>7146</v>
      </c>
      <c r="BZ5" s="520"/>
      <c r="CA5" s="520"/>
      <c r="CB5" s="39" t="s">
        <v>126</v>
      </c>
      <c r="CC5" s="39" t="s">
        <v>120</v>
      </c>
      <c r="CD5" s="39">
        <v>0.28060000000000002</v>
      </c>
      <c r="CE5" s="39">
        <v>8.2000000000000003E-2</v>
      </c>
      <c r="CF5" s="41">
        <f>CD5*2400</f>
        <v>673.44</v>
      </c>
      <c r="CG5" s="41">
        <f>CE5*2400</f>
        <v>196.8</v>
      </c>
      <c r="CH5" s="517" t="s">
        <v>117</v>
      </c>
      <c r="CI5" s="517">
        <f>MAX(CF5:CF22)</f>
        <v>690.24</v>
      </c>
      <c r="CJ5" s="517" t="s">
        <v>118</v>
      </c>
      <c r="CK5" s="517">
        <f>(MAX(CF5:CF9)*5*30)</f>
        <v>103536</v>
      </c>
      <c r="CL5" s="517"/>
      <c r="CM5" s="517"/>
      <c r="CN5" s="84" t="s">
        <v>127</v>
      </c>
      <c r="CO5" s="84" t="s">
        <v>120</v>
      </c>
      <c r="CP5" s="84">
        <v>0.29930000000000001</v>
      </c>
      <c r="CQ5" s="84">
        <v>0.16309999999999999</v>
      </c>
      <c r="CR5" s="64">
        <f>CP5*1200</f>
        <v>359.16</v>
      </c>
      <c r="CS5" s="64">
        <f>CQ5*1200</f>
        <v>195.72</v>
      </c>
      <c r="CT5" s="514" t="s">
        <v>117</v>
      </c>
      <c r="CU5" s="514">
        <f>MAX(CR5:CR22)</f>
        <v>396</v>
      </c>
      <c r="CV5" s="514" t="s">
        <v>118</v>
      </c>
      <c r="CW5" s="514">
        <f>(MAX(CR5:CR9)*5*30)</f>
        <v>59400</v>
      </c>
      <c r="CX5" s="514"/>
      <c r="CY5" s="514"/>
      <c r="CZ5" s="85" t="s">
        <v>128</v>
      </c>
      <c r="DA5" s="85" t="s">
        <v>120</v>
      </c>
      <c r="DB5" s="85">
        <v>4.4400000000000002E-2</v>
      </c>
      <c r="DC5" s="85">
        <v>8.0000000000000004E-4</v>
      </c>
      <c r="DD5" s="66">
        <f>DB5*30</f>
        <v>1.3320000000000001</v>
      </c>
      <c r="DE5" s="66">
        <f>DC5*30</f>
        <v>2.4E-2</v>
      </c>
      <c r="DF5" s="504" t="s">
        <v>117</v>
      </c>
      <c r="DG5" s="504">
        <f>MAX(DD5:DD22)</f>
        <v>48.669000000000004</v>
      </c>
      <c r="DH5" s="504" t="s">
        <v>118</v>
      </c>
      <c r="DI5" s="504">
        <f>(MAX(DD5:DD9)*5*30)</f>
        <v>202.04999999999998</v>
      </c>
      <c r="DJ5" s="504"/>
      <c r="DK5" s="504"/>
      <c r="DL5" s="81" t="s">
        <v>129</v>
      </c>
      <c r="DM5" s="81" t="s">
        <v>120</v>
      </c>
      <c r="DN5" s="82">
        <v>1.0851</v>
      </c>
      <c r="DO5" s="82">
        <v>0.27979999999999999</v>
      </c>
      <c r="DP5" s="81">
        <f>DN5*50</f>
        <v>54.254999999999995</v>
      </c>
      <c r="DQ5" s="81">
        <f>DO5*50</f>
        <v>13.99</v>
      </c>
      <c r="DR5" s="501" t="s">
        <v>117</v>
      </c>
      <c r="DS5" s="501">
        <f>MAX(DP5:DP22)</f>
        <v>96.015000000000001</v>
      </c>
      <c r="DT5" s="501" t="s">
        <v>118</v>
      </c>
      <c r="DU5" s="501">
        <f>(MAX(DP5:DP9)*5*30)</f>
        <v>9573.75</v>
      </c>
      <c r="DV5" s="501"/>
      <c r="DW5" s="501"/>
      <c r="DX5" s="86" t="s">
        <v>130</v>
      </c>
      <c r="DY5" s="86" t="s">
        <v>120</v>
      </c>
      <c r="DZ5" s="86">
        <v>0.3327</v>
      </c>
      <c r="EA5" s="86">
        <v>0</v>
      </c>
      <c r="EB5" s="86">
        <f>DZ5*20</f>
        <v>6.6539999999999999</v>
      </c>
      <c r="EC5" s="86">
        <f>EA5*20</f>
        <v>0</v>
      </c>
      <c r="ED5" s="498" t="s">
        <v>117</v>
      </c>
      <c r="EE5" s="498">
        <f>MAX(EB5:EB22)</f>
        <v>19.676000000000002</v>
      </c>
      <c r="EF5" s="498" t="s">
        <v>118</v>
      </c>
      <c r="EG5" s="498">
        <f>(MAX(EB5:EB9)*5*30)</f>
        <v>1057.5</v>
      </c>
      <c r="EH5" s="498"/>
      <c r="EI5" s="498"/>
      <c r="EJ5" s="87" t="s">
        <v>131</v>
      </c>
      <c r="EK5" s="87" t="s">
        <v>120</v>
      </c>
      <c r="EL5" s="88">
        <v>1.1871</v>
      </c>
      <c r="EM5" s="88">
        <v>0.73850000000000005</v>
      </c>
      <c r="EN5" s="70">
        <f>EL5*60</f>
        <v>71.225999999999999</v>
      </c>
      <c r="EO5" s="70">
        <f>EM5*60</f>
        <v>44.31</v>
      </c>
      <c r="EP5" s="510" t="s">
        <v>117</v>
      </c>
      <c r="EQ5" s="510">
        <f>MAX(EN5:EN20)</f>
        <v>115.74600000000001</v>
      </c>
      <c r="ER5" s="510" t="s">
        <v>118</v>
      </c>
      <c r="ES5" s="510">
        <f>(MAX(EN5:EN9)*5*30)</f>
        <v>10683.9</v>
      </c>
      <c r="ET5" s="510"/>
      <c r="EU5" s="510"/>
      <c r="EV5" s="75" t="s">
        <v>132</v>
      </c>
      <c r="EW5" s="75" t="s">
        <v>120</v>
      </c>
      <c r="EX5" s="75">
        <v>1.44E-2</v>
      </c>
      <c r="EY5" s="76">
        <v>0</v>
      </c>
      <c r="EZ5" s="507" t="s">
        <v>117</v>
      </c>
      <c r="FA5" s="507">
        <f>MAX(EX5:EX22)</f>
        <v>8.0136000000000003</v>
      </c>
      <c r="FB5" s="507" t="s">
        <v>118</v>
      </c>
      <c r="FC5" s="507">
        <f>(MAX(EX5:EX9)*5*30)</f>
        <v>2.6999999999999997</v>
      </c>
      <c r="FD5" s="507"/>
      <c r="FE5" s="507"/>
      <c r="FF5" s="72" t="s">
        <v>133</v>
      </c>
      <c r="FG5" s="78" t="s">
        <v>120</v>
      </c>
      <c r="FH5" s="89">
        <v>2.4108000000000001</v>
      </c>
      <c r="FI5" s="89">
        <v>1.2584</v>
      </c>
      <c r="FJ5" s="72">
        <f>FH5*100</f>
        <v>241.08</v>
      </c>
      <c r="FK5" s="72">
        <f>FI5*100</f>
        <v>125.84</v>
      </c>
      <c r="FL5" s="513" t="s">
        <v>117</v>
      </c>
      <c r="FM5" s="513">
        <f>MAX(FJ5:FJ22)</f>
        <v>261.18</v>
      </c>
      <c r="FN5" s="513" t="s">
        <v>118</v>
      </c>
      <c r="FO5" s="513">
        <f>(MAX(FJ5:FJ9)*5*30)</f>
        <v>36357</v>
      </c>
      <c r="FP5" s="513"/>
      <c r="FQ5" s="513"/>
      <c r="FR5" s="29" t="s">
        <v>134</v>
      </c>
      <c r="FS5" s="29" t="s">
        <v>120</v>
      </c>
      <c r="FT5" s="90">
        <f>1.1976</f>
        <v>1.1976</v>
      </c>
      <c r="FU5" s="90">
        <v>0.44230000000000003</v>
      </c>
      <c r="FV5" s="2">
        <f>FT5*40</f>
        <v>47.903999999999996</v>
      </c>
      <c r="FW5" s="2">
        <f>FU5*40</f>
        <v>17.692</v>
      </c>
      <c r="FX5" s="487" t="s">
        <v>117</v>
      </c>
      <c r="FY5" s="487">
        <f>MAX(FV5:FV22)</f>
        <v>67.283999999999992</v>
      </c>
      <c r="FZ5" s="487" t="s">
        <v>118</v>
      </c>
      <c r="GA5" s="487">
        <f>(MAX(FV5:FV9)*5*30)</f>
        <v>8031.5999999999995</v>
      </c>
      <c r="GB5" s="487"/>
      <c r="GC5" s="487"/>
    </row>
    <row r="6" spans="1:185">
      <c r="A6" s="74" t="s">
        <v>135</v>
      </c>
      <c r="B6" s="74">
        <v>26.675999999999998</v>
      </c>
      <c r="C6" s="74">
        <v>14.9976</v>
      </c>
      <c r="D6" s="532"/>
      <c r="E6" s="532"/>
      <c r="F6" s="532"/>
      <c r="G6" s="535"/>
      <c r="H6" s="538"/>
      <c r="I6" s="538"/>
      <c r="J6" s="75" t="s">
        <v>136</v>
      </c>
      <c r="K6" s="75" t="s">
        <v>137</v>
      </c>
      <c r="L6" s="76">
        <v>3.6360000000000001</v>
      </c>
      <c r="M6" s="76">
        <v>0</v>
      </c>
      <c r="N6" s="530"/>
      <c r="O6" s="530"/>
      <c r="P6" s="530"/>
      <c r="Q6" s="530"/>
      <c r="R6" s="530"/>
      <c r="S6" s="530"/>
      <c r="T6" s="77" t="s">
        <v>138</v>
      </c>
      <c r="U6" s="77" t="s">
        <v>137</v>
      </c>
      <c r="V6" s="77">
        <v>7.46E-2</v>
      </c>
      <c r="W6" s="77">
        <v>0</v>
      </c>
      <c r="X6" s="77">
        <f t="shared" si="0"/>
        <v>3.73</v>
      </c>
      <c r="Y6" s="77">
        <f t="shared" si="0"/>
        <v>0</v>
      </c>
      <c r="Z6" s="528"/>
      <c r="AA6" s="528"/>
      <c r="AB6" s="528"/>
      <c r="AC6" s="528"/>
      <c r="AD6" s="528"/>
      <c r="AE6" s="528"/>
      <c r="AF6" s="78" t="s">
        <v>139</v>
      </c>
      <c r="AG6" s="78" t="s">
        <v>137</v>
      </c>
      <c r="AH6" s="78">
        <v>3.7999999999999999E-2</v>
      </c>
      <c r="AI6" s="78">
        <v>0</v>
      </c>
      <c r="AJ6" s="72">
        <f t="shared" ref="AJ6:AK29" si="1">50*AH6</f>
        <v>1.9</v>
      </c>
      <c r="AK6" s="72">
        <f t="shared" si="1"/>
        <v>0</v>
      </c>
      <c r="AL6" s="526"/>
      <c r="AM6" s="526"/>
      <c r="AN6" s="526"/>
      <c r="AO6" s="526"/>
      <c r="AP6" s="526"/>
      <c r="AQ6" s="526"/>
      <c r="AR6" s="79" t="s">
        <v>140</v>
      </c>
      <c r="AS6" s="79" t="s">
        <v>137</v>
      </c>
      <c r="AT6" s="91">
        <v>1.1673</v>
      </c>
      <c r="AU6" s="91">
        <v>0.74009999999999998</v>
      </c>
      <c r="AV6" s="80">
        <f t="shared" ref="AV6:AW29" si="2">AT6*150</f>
        <v>175.095</v>
      </c>
      <c r="AW6" s="80">
        <f t="shared" si="2"/>
        <v>111.015</v>
      </c>
      <c r="AX6" s="524"/>
      <c r="AY6" s="524"/>
      <c r="AZ6" s="524"/>
      <c r="BA6" s="524"/>
      <c r="BB6" s="524"/>
      <c r="BC6" s="524"/>
      <c r="BD6" s="81" t="s">
        <v>141</v>
      </c>
      <c r="BE6" s="81" t="s">
        <v>137</v>
      </c>
      <c r="BF6" s="82">
        <v>0.96919999999999995</v>
      </c>
      <c r="BG6" s="82">
        <v>0.71930000000000005</v>
      </c>
      <c r="BH6" s="59">
        <f t="shared" ref="BH6:BI29" si="3">BF6*100</f>
        <v>96.92</v>
      </c>
      <c r="BI6" s="59">
        <f t="shared" si="3"/>
        <v>71.930000000000007</v>
      </c>
      <c r="BJ6" s="502"/>
      <c r="BK6" s="502"/>
      <c r="BL6" s="502"/>
      <c r="BM6" s="502"/>
      <c r="BN6" s="502"/>
      <c r="BO6" s="502"/>
      <c r="BP6" s="83" t="s">
        <v>142</v>
      </c>
      <c r="BQ6" s="83" t="s">
        <v>137</v>
      </c>
      <c r="BR6" s="83">
        <v>3.7100000000000001E-2</v>
      </c>
      <c r="BS6" s="83">
        <v>6.1999999999999998E-3</v>
      </c>
      <c r="BT6" s="61">
        <f t="shared" ref="BT6:BU29" si="4">BR6*1200</f>
        <v>44.52</v>
      </c>
      <c r="BU6" s="61">
        <f t="shared" si="4"/>
        <v>7.4399999999999995</v>
      </c>
      <c r="BV6" s="521"/>
      <c r="BW6" s="521"/>
      <c r="BX6" s="521"/>
      <c r="BY6" s="521"/>
      <c r="BZ6" s="521"/>
      <c r="CA6" s="521"/>
      <c r="CB6" s="39" t="s">
        <v>143</v>
      </c>
      <c r="CC6" s="39" t="s">
        <v>137</v>
      </c>
      <c r="CD6" s="39">
        <v>0.2863</v>
      </c>
      <c r="CE6" s="39">
        <v>8.3099999999999993E-2</v>
      </c>
      <c r="CF6" s="41">
        <f t="shared" ref="CF6:CG29" si="5">CD6*2400</f>
        <v>687.12</v>
      </c>
      <c r="CG6" s="41">
        <f t="shared" si="5"/>
        <v>199.44</v>
      </c>
      <c r="CH6" s="518"/>
      <c r="CI6" s="518"/>
      <c r="CJ6" s="518"/>
      <c r="CK6" s="518"/>
      <c r="CL6" s="518"/>
      <c r="CM6" s="518"/>
      <c r="CN6" s="84" t="s">
        <v>144</v>
      </c>
      <c r="CO6" s="84" t="s">
        <v>137</v>
      </c>
      <c r="CP6" s="84">
        <v>0.29799999999999999</v>
      </c>
      <c r="CQ6" s="84">
        <v>0.1628</v>
      </c>
      <c r="CR6" s="64">
        <f t="shared" ref="CR6:CS29" si="6">CP6*1200</f>
        <v>357.59999999999997</v>
      </c>
      <c r="CS6" s="64">
        <f t="shared" si="6"/>
        <v>195.36</v>
      </c>
      <c r="CT6" s="515"/>
      <c r="CU6" s="515"/>
      <c r="CV6" s="515"/>
      <c r="CW6" s="515"/>
      <c r="CX6" s="515"/>
      <c r="CY6" s="515"/>
      <c r="CZ6" s="85" t="s">
        <v>145</v>
      </c>
      <c r="DA6" s="85" t="s">
        <v>137</v>
      </c>
      <c r="DB6" s="85">
        <v>4.4900000000000002E-2</v>
      </c>
      <c r="DC6" s="85">
        <v>8.9999999999999998E-4</v>
      </c>
      <c r="DD6" s="66">
        <f t="shared" ref="DD6:DE29" si="7">DB6*30</f>
        <v>1.347</v>
      </c>
      <c r="DE6" s="66">
        <f t="shared" si="7"/>
        <v>2.7E-2</v>
      </c>
      <c r="DF6" s="505"/>
      <c r="DG6" s="505"/>
      <c r="DH6" s="505"/>
      <c r="DI6" s="505"/>
      <c r="DJ6" s="505"/>
      <c r="DK6" s="505"/>
      <c r="DL6" s="81" t="s">
        <v>146</v>
      </c>
      <c r="DM6" s="81" t="s">
        <v>137</v>
      </c>
      <c r="DN6" s="82">
        <v>1.1756</v>
      </c>
      <c r="DO6" s="82">
        <v>0.3372</v>
      </c>
      <c r="DP6" s="81">
        <f t="shared" ref="DP6:DQ29" si="8">DN6*50</f>
        <v>58.78</v>
      </c>
      <c r="DQ6" s="81">
        <f t="shared" si="8"/>
        <v>16.86</v>
      </c>
      <c r="DR6" s="502"/>
      <c r="DS6" s="502"/>
      <c r="DT6" s="502"/>
      <c r="DU6" s="502"/>
      <c r="DV6" s="502"/>
      <c r="DW6" s="502"/>
      <c r="DX6" s="86" t="s">
        <v>147</v>
      </c>
      <c r="DY6" s="86" t="s">
        <v>137</v>
      </c>
      <c r="DZ6" s="86">
        <v>0.29509999999999997</v>
      </c>
      <c r="EA6" s="86">
        <v>0</v>
      </c>
      <c r="EB6" s="86">
        <f t="shared" ref="EB6:EC29" si="9">DZ6*20</f>
        <v>5.9019999999999992</v>
      </c>
      <c r="EC6" s="86">
        <f t="shared" si="9"/>
        <v>0</v>
      </c>
      <c r="ED6" s="499"/>
      <c r="EE6" s="499"/>
      <c r="EF6" s="499"/>
      <c r="EG6" s="499"/>
      <c r="EH6" s="499"/>
      <c r="EI6" s="499"/>
      <c r="EJ6" s="87" t="s">
        <v>148</v>
      </c>
      <c r="EK6" s="87" t="s">
        <v>137</v>
      </c>
      <c r="EL6" s="88">
        <v>1.0992999999999999</v>
      </c>
      <c r="EM6" s="88">
        <v>0.73019999999999996</v>
      </c>
      <c r="EN6" s="70">
        <f t="shared" ref="EN6:EO29" si="10">EL6*60</f>
        <v>65.957999999999998</v>
      </c>
      <c r="EO6" s="70">
        <f t="shared" si="10"/>
        <v>43.811999999999998</v>
      </c>
      <c r="EP6" s="511"/>
      <c r="EQ6" s="511"/>
      <c r="ER6" s="511"/>
      <c r="ES6" s="511"/>
      <c r="ET6" s="511"/>
      <c r="EU6" s="511"/>
      <c r="EV6" s="75" t="s">
        <v>149</v>
      </c>
      <c r="EW6" s="75" t="s">
        <v>137</v>
      </c>
      <c r="EX6" s="75">
        <v>1.7999999999999999E-2</v>
      </c>
      <c r="EY6" s="76">
        <v>0</v>
      </c>
      <c r="EZ6" s="508"/>
      <c r="FA6" s="508"/>
      <c r="FB6" s="508"/>
      <c r="FC6" s="508"/>
      <c r="FD6" s="508"/>
      <c r="FE6" s="508"/>
      <c r="FF6" s="72" t="s">
        <v>150</v>
      </c>
      <c r="FG6" s="78" t="s">
        <v>137</v>
      </c>
      <c r="FH6" s="89">
        <v>2.4238</v>
      </c>
      <c r="FI6" s="89">
        <v>1.2249000000000001</v>
      </c>
      <c r="FJ6" s="72">
        <f>FH6*100</f>
        <v>242.38</v>
      </c>
      <c r="FK6" s="72">
        <f>FI6*100</f>
        <v>122.49000000000001</v>
      </c>
      <c r="FL6" s="513"/>
      <c r="FM6" s="513"/>
      <c r="FN6" s="513"/>
      <c r="FO6" s="513"/>
      <c r="FP6" s="513"/>
      <c r="FQ6" s="513"/>
      <c r="FR6" s="29" t="s">
        <v>151</v>
      </c>
      <c r="FS6" s="29" t="s">
        <v>137</v>
      </c>
      <c r="FT6" s="90">
        <v>1.3386</v>
      </c>
      <c r="FU6" s="2">
        <v>0.497</v>
      </c>
      <c r="FV6" s="2">
        <f t="shared" ref="FV6:FW21" si="11">FT6*40</f>
        <v>53.543999999999997</v>
      </c>
      <c r="FW6" s="2">
        <f t="shared" si="11"/>
        <v>19.88</v>
      </c>
      <c r="FX6" s="487"/>
      <c r="FY6" s="487"/>
      <c r="FZ6" s="487"/>
      <c r="GA6" s="487"/>
      <c r="GB6" s="487"/>
      <c r="GC6" s="487"/>
    </row>
    <row r="7" spans="1:185">
      <c r="A7" s="74" t="s">
        <v>135</v>
      </c>
      <c r="B7" s="74">
        <v>27.680399999999999</v>
      </c>
      <c r="C7" s="74">
        <v>16.030799999999999</v>
      </c>
      <c r="D7" s="532"/>
      <c r="E7" s="532"/>
      <c r="F7" s="532"/>
      <c r="G7" s="535"/>
      <c r="H7" s="538"/>
      <c r="I7" s="538"/>
      <c r="J7" s="75" t="s">
        <v>136</v>
      </c>
      <c r="K7" s="75" t="s">
        <v>152</v>
      </c>
      <c r="L7" s="76">
        <v>2.8296000000000001</v>
      </c>
      <c r="M7" s="76">
        <v>0</v>
      </c>
      <c r="N7" s="530"/>
      <c r="O7" s="530"/>
      <c r="P7" s="530"/>
      <c r="Q7" s="530"/>
      <c r="R7" s="530"/>
      <c r="S7" s="530"/>
      <c r="T7" s="77" t="s">
        <v>138</v>
      </c>
      <c r="U7" s="77" t="s">
        <v>152</v>
      </c>
      <c r="V7" s="77">
        <v>7.1499999999999994E-2</v>
      </c>
      <c r="W7" s="77">
        <v>0</v>
      </c>
      <c r="X7" s="77">
        <f t="shared" si="0"/>
        <v>3.5749999999999997</v>
      </c>
      <c r="Y7" s="77">
        <f t="shared" si="0"/>
        <v>0</v>
      </c>
      <c r="Z7" s="528"/>
      <c r="AA7" s="528"/>
      <c r="AB7" s="528"/>
      <c r="AC7" s="528"/>
      <c r="AD7" s="528"/>
      <c r="AE7" s="528"/>
      <c r="AF7" s="78" t="s">
        <v>139</v>
      </c>
      <c r="AG7" s="78" t="s">
        <v>152</v>
      </c>
      <c r="AH7" s="78">
        <v>3.9399999999999998E-2</v>
      </c>
      <c r="AI7" s="78">
        <v>0</v>
      </c>
      <c r="AJ7" s="72">
        <f t="shared" si="1"/>
        <v>1.97</v>
      </c>
      <c r="AK7" s="72">
        <f t="shared" si="1"/>
        <v>0</v>
      </c>
      <c r="AL7" s="526"/>
      <c r="AM7" s="526"/>
      <c r="AN7" s="526"/>
      <c r="AO7" s="526"/>
      <c r="AP7" s="526"/>
      <c r="AQ7" s="526"/>
      <c r="AR7" s="79" t="s">
        <v>140</v>
      </c>
      <c r="AS7" s="79" t="s">
        <v>152</v>
      </c>
      <c r="AT7" s="91">
        <v>1.1485000000000001</v>
      </c>
      <c r="AU7" s="91">
        <v>0.73350000000000004</v>
      </c>
      <c r="AV7" s="80">
        <f t="shared" si="2"/>
        <v>172.27500000000001</v>
      </c>
      <c r="AW7" s="80">
        <f t="shared" si="2"/>
        <v>110.02500000000001</v>
      </c>
      <c r="AX7" s="524"/>
      <c r="AY7" s="524"/>
      <c r="AZ7" s="524"/>
      <c r="BA7" s="524"/>
      <c r="BB7" s="524"/>
      <c r="BC7" s="524"/>
      <c r="BD7" s="81" t="s">
        <v>141</v>
      </c>
      <c r="BE7" s="81" t="s">
        <v>152</v>
      </c>
      <c r="BF7" s="82">
        <v>0.96950000000000003</v>
      </c>
      <c r="BG7" s="82">
        <v>0.71240000000000003</v>
      </c>
      <c r="BH7" s="59">
        <f t="shared" si="3"/>
        <v>96.95</v>
      </c>
      <c r="BI7" s="59">
        <f t="shared" si="3"/>
        <v>71.240000000000009</v>
      </c>
      <c r="BJ7" s="502"/>
      <c r="BK7" s="502"/>
      <c r="BL7" s="502"/>
      <c r="BM7" s="502"/>
      <c r="BN7" s="502"/>
      <c r="BO7" s="502"/>
      <c r="BP7" s="83" t="s">
        <v>142</v>
      </c>
      <c r="BQ7" s="83" t="s">
        <v>152</v>
      </c>
      <c r="BR7" s="83">
        <v>1.52E-2</v>
      </c>
      <c r="BS7" s="83">
        <v>8.0999999999999996E-3</v>
      </c>
      <c r="BT7" s="61">
        <f t="shared" si="4"/>
        <v>18.239999999999998</v>
      </c>
      <c r="BU7" s="61">
        <f t="shared" si="4"/>
        <v>9.7199999999999989</v>
      </c>
      <c r="BV7" s="521"/>
      <c r="BW7" s="521"/>
      <c r="BX7" s="521"/>
      <c r="BY7" s="521"/>
      <c r="BZ7" s="521"/>
      <c r="CA7" s="521"/>
      <c r="CB7" s="39" t="s">
        <v>143</v>
      </c>
      <c r="CC7" s="39" t="s">
        <v>152</v>
      </c>
      <c r="CD7" s="39">
        <v>0.28760000000000002</v>
      </c>
      <c r="CE7" s="39">
        <v>8.48E-2</v>
      </c>
      <c r="CF7" s="41">
        <f t="shared" si="5"/>
        <v>690.24</v>
      </c>
      <c r="CG7" s="41">
        <f t="shared" si="5"/>
        <v>203.52</v>
      </c>
      <c r="CH7" s="518"/>
      <c r="CI7" s="518"/>
      <c r="CJ7" s="518"/>
      <c r="CK7" s="518"/>
      <c r="CL7" s="518"/>
      <c r="CM7" s="518"/>
      <c r="CN7" s="84" t="s">
        <v>144</v>
      </c>
      <c r="CO7" s="84" t="s">
        <v>152</v>
      </c>
      <c r="CP7" s="84">
        <v>0.31719999999999998</v>
      </c>
      <c r="CQ7" s="84">
        <v>0.16869999999999999</v>
      </c>
      <c r="CR7" s="64">
        <f t="shared" si="6"/>
        <v>380.64</v>
      </c>
      <c r="CS7" s="64">
        <f t="shared" si="6"/>
        <v>202.44</v>
      </c>
      <c r="CT7" s="515"/>
      <c r="CU7" s="515"/>
      <c r="CV7" s="515"/>
      <c r="CW7" s="515"/>
      <c r="CX7" s="515"/>
      <c r="CY7" s="515"/>
      <c r="CZ7" s="85" t="s">
        <v>145</v>
      </c>
      <c r="DA7" s="85" t="s">
        <v>152</v>
      </c>
      <c r="DB7" s="85">
        <v>4.4600000000000001E-2</v>
      </c>
      <c r="DC7" s="85">
        <v>6.9999999999999999E-4</v>
      </c>
      <c r="DD7" s="66">
        <f t="shared" si="7"/>
        <v>1.3380000000000001</v>
      </c>
      <c r="DE7" s="66">
        <f t="shared" si="7"/>
        <v>2.1000000000000001E-2</v>
      </c>
      <c r="DF7" s="505"/>
      <c r="DG7" s="505"/>
      <c r="DH7" s="505"/>
      <c r="DI7" s="505"/>
      <c r="DJ7" s="505"/>
      <c r="DK7" s="505"/>
      <c r="DL7" s="81" t="s">
        <v>146</v>
      </c>
      <c r="DM7" s="81" t="s">
        <v>152</v>
      </c>
      <c r="DN7" s="82">
        <v>1.1052</v>
      </c>
      <c r="DO7" s="82">
        <v>0.2757</v>
      </c>
      <c r="DP7" s="81">
        <f t="shared" si="8"/>
        <v>55.26</v>
      </c>
      <c r="DQ7" s="81">
        <f t="shared" si="8"/>
        <v>13.785</v>
      </c>
      <c r="DR7" s="502"/>
      <c r="DS7" s="502"/>
      <c r="DT7" s="502"/>
      <c r="DU7" s="502"/>
      <c r="DV7" s="502"/>
      <c r="DW7" s="502"/>
      <c r="DX7" s="86" t="s">
        <v>147</v>
      </c>
      <c r="DY7" s="86" t="s">
        <v>152</v>
      </c>
      <c r="DZ7" s="86">
        <v>0.31919999999999998</v>
      </c>
      <c r="EA7" s="86">
        <v>0</v>
      </c>
      <c r="EB7" s="86">
        <f t="shared" si="9"/>
        <v>6.3839999999999995</v>
      </c>
      <c r="EC7" s="86">
        <f t="shared" si="9"/>
        <v>0</v>
      </c>
      <c r="ED7" s="499"/>
      <c r="EE7" s="499"/>
      <c r="EF7" s="499"/>
      <c r="EG7" s="499"/>
      <c r="EH7" s="499"/>
      <c r="EI7" s="499"/>
      <c r="EJ7" s="87" t="s">
        <v>148</v>
      </c>
      <c r="EK7" s="87" t="s">
        <v>152</v>
      </c>
      <c r="EL7" s="88">
        <v>1.0206</v>
      </c>
      <c r="EM7" s="88">
        <v>0.66449999999999998</v>
      </c>
      <c r="EN7" s="70">
        <f t="shared" si="10"/>
        <v>61.235999999999997</v>
      </c>
      <c r="EO7" s="70">
        <f t="shared" si="10"/>
        <v>39.869999999999997</v>
      </c>
      <c r="EP7" s="511"/>
      <c r="EQ7" s="511"/>
      <c r="ER7" s="511"/>
      <c r="ES7" s="511"/>
      <c r="ET7" s="511"/>
      <c r="EU7" s="511"/>
      <c r="EV7" s="75" t="s">
        <v>149</v>
      </c>
      <c r="EW7" s="75" t="s">
        <v>152</v>
      </c>
      <c r="EX7" s="75">
        <v>1.44E-2</v>
      </c>
      <c r="EY7" s="76">
        <v>0</v>
      </c>
      <c r="EZ7" s="508"/>
      <c r="FA7" s="508"/>
      <c r="FB7" s="508"/>
      <c r="FC7" s="508"/>
      <c r="FD7" s="508"/>
      <c r="FE7" s="508"/>
      <c r="FF7" s="72" t="s">
        <v>150</v>
      </c>
      <c r="FG7" s="78" t="s">
        <v>152</v>
      </c>
      <c r="FH7" s="72">
        <v>0.88300000000000001</v>
      </c>
      <c r="FI7" s="72">
        <v>0.93959999999999999</v>
      </c>
      <c r="FJ7" s="72">
        <f t="shared" ref="FJ7:FK29" si="12">FH7*100</f>
        <v>88.3</v>
      </c>
      <c r="FK7" s="72">
        <f t="shared" si="12"/>
        <v>93.96</v>
      </c>
      <c r="FL7" s="513"/>
      <c r="FM7" s="513"/>
      <c r="FN7" s="513"/>
      <c r="FO7" s="513"/>
      <c r="FP7" s="513"/>
      <c r="FQ7" s="513"/>
      <c r="FR7" s="29" t="s">
        <v>151</v>
      </c>
      <c r="FS7" s="29" t="s">
        <v>152</v>
      </c>
      <c r="FT7" s="90">
        <v>1.286</v>
      </c>
      <c r="FU7" s="2">
        <v>0.55459999999999998</v>
      </c>
      <c r="FV7" s="2">
        <f t="shared" si="11"/>
        <v>51.44</v>
      </c>
      <c r="FW7" s="2">
        <f t="shared" si="11"/>
        <v>22.183999999999997</v>
      </c>
      <c r="FX7" s="487"/>
      <c r="FY7" s="487"/>
      <c r="FZ7" s="487"/>
      <c r="GA7" s="487"/>
      <c r="GB7" s="487"/>
      <c r="GC7" s="487"/>
    </row>
    <row r="8" spans="1:185">
      <c r="A8" s="74" t="s">
        <v>135</v>
      </c>
      <c r="B8" s="74">
        <v>27.09</v>
      </c>
      <c r="C8" s="74">
        <v>15.339600000000001</v>
      </c>
      <c r="D8" s="532"/>
      <c r="E8" s="532"/>
      <c r="F8" s="532"/>
      <c r="G8" s="535"/>
      <c r="H8" s="538"/>
      <c r="I8" s="538"/>
      <c r="J8" s="75" t="s">
        <v>136</v>
      </c>
      <c r="K8" s="75" t="s">
        <v>153</v>
      </c>
      <c r="L8" s="76">
        <v>2.8439999999999999</v>
      </c>
      <c r="M8" s="76">
        <v>0</v>
      </c>
      <c r="N8" s="530"/>
      <c r="O8" s="530"/>
      <c r="P8" s="530"/>
      <c r="Q8" s="530"/>
      <c r="R8" s="530"/>
      <c r="S8" s="530"/>
      <c r="T8" s="77" t="s">
        <v>138</v>
      </c>
      <c r="U8" s="77" t="s">
        <v>153</v>
      </c>
      <c r="V8" s="77">
        <v>7.3599999999999999E-2</v>
      </c>
      <c r="W8" s="77">
        <v>0</v>
      </c>
      <c r="X8" s="77">
        <f t="shared" si="0"/>
        <v>3.6799999999999997</v>
      </c>
      <c r="Y8" s="77">
        <f t="shared" si="0"/>
        <v>0</v>
      </c>
      <c r="Z8" s="528"/>
      <c r="AA8" s="528"/>
      <c r="AB8" s="528"/>
      <c r="AC8" s="528"/>
      <c r="AD8" s="528"/>
      <c r="AE8" s="528"/>
      <c r="AF8" s="78" t="s">
        <v>139</v>
      </c>
      <c r="AG8" s="78" t="s">
        <v>153</v>
      </c>
      <c r="AH8" s="78">
        <v>3.8100000000000002E-2</v>
      </c>
      <c r="AI8" s="78">
        <v>0</v>
      </c>
      <c r="AJ8" s="72">
        <f t="shared" si="1"/>
        <v>1.905</v>
      </c>
      <c r="AK8" s="72">
        <f t="shared" si="1"/>
        <v>0</v>
      </c>
      <c r="AL8" s="526"/>
      <c r="AM8" s="526"/>
      <c r="AN8" s="526"/>
      <c r="AO8" s="526"/>
      <c r="AP8" s="526"/>
      <c r="AQ8" s="526"/>
      <c r="AR8" s="79" t="s">
        <v>140</v>
      </c>
      <c r="AS8" s="79" t="s">
        <v>153</v>
      </c>
      <c r="AT8" s="91">
        <v>1.2554000000000001</v>
      </c>
      <c r="AU8" s="91">
        <v>0.79139999999999999</v>
      </c>
      <c r="AV8" s="80">
        <f t="shared" si="2"/>
        <v>188.31</v>
      </c>
      <c r="AW8" s="80">
        <f t="shared" si="2"/>
        <v>118.71</v>
      </c>
      <c r="AX8" s="524"/>
      <c r="AY8" s="524"/>
      <c r="AZ8" s="524"/>
      <c r="BA8" s="524"/>
      <c r="BB8" s="524"/>
      <c r="BC8" s="524"/>
      <c r="BD8" s="81" t="s">
        <v>141</v>
      </c>
      <c r="BE8" s="81" t="s">
        <v>153</v>
      </c>
      <c r="BF8" s="82">
        <v>0.96919999999999995</v>
      </c>
      <c r="BG8" s="82">
        <v>0.71679999999999999</v>
      </c>
      <c r="BH8" s="59">
        <f t="shared" si="3"/>
        <v>96.92</v>
      </c>
      <c r="BI8" s="59">
        <f t="shared" si="3"/>
        <v>71.679999999999993</v>
      </c>
      <c r="BJ8" s="502"/>
      <c r="BK8" s="502"/>
      <c r="BL8" s="502"/>
      <c r="BM8" s="502"/>
      <c r="BN8" s="502"/>
      <c r="BO8" s="502"/>
      <c r="BP8" s="83" t="s">
        <v>142</v>
      </c>
      <c r="BQ8" s="83" t="s">
        <v>153</v>
      </c>
      <c r="BR8" s="83">
        <v>3.9699999999999999E-2</v>
      </c>
      <c r="BS8" s="83">
        <v>7.1999999999999998E-3</v>
      </c>
      <c r="BT8" s="61">
        <f t="shared" si="4"/>
        <v>47.64</v>
      </c>
      <c r="BU8" s="61">
        <f t="shared" si="4"/>
        <v>8.64</v>
      </c>
      <c r="BV8" s="521"/>
      <c r="BW8" s="521"/>
      <c r="BX8" s="521"/>
      <c r="BY8" s="521"/>
      <c r="BZ8" s="521"/>
      <c r="CA8" s="521"/>
      <c r="CB8" s="39" t="s">
        <v>143</v>
      </c>
      <c r="CC8" s="39" t="s">
        <v>153</v>
      </c>
      <c r="CD8" s="39">
        <v>0.28389999999999999</v>
      </c>
      <c r="CE8" s="39">
        <v>8.2900000000000001E-2</v>
      </c>
      <c r="CF8" s="41">
        <f t="shared" si="5"/>
        <v>681.36</v>
      </c>
      <c r="CG8" s="41">
        <f t="shared" si="5"/>
        <v>198.96</v>
      </c>
      <c r="CH8" s="518"/>
      <c r="CI8" s="518"/>
      <c r="CJ8" s="518"/>
      <c r="CK8" s="518"/>
      <c r="CL8" s="518"/>
      <c r="CM8" s="518"/>
      <c r="CN8" s="84" t="s">
        <v>144</v>
      </c>
      <c r="CO8" s="84" t="s">
        <v>153</v>
      </c>
      <c r="CP8" s="84">
        <v>0.33</v>
      </c>
      <c r="CQ8" s="84">
        <v>0.1719</v>
      </c>
      <c r="CR8" s="64">
        <f t="shared" si="6"/>
        <v>396</v>
      </c>
      <c r="CS8" s="64">
        <f t="shared" si="6"/>
        <v>206.28</v>
      </c>
      <c r="CT8" s="515"/>
      <c r="CU8" s="515"/>
      <c r="CV8" s="515"/>
      <c r="CW8" s="515"/>
      <c r="CX8" s="515"/>
      <c r="CY8" s="515"/>
      <c r="CZ8" s="85" t="s">
        <v>145</v>
      </c>
      <c r="DA8" s="85" t="s">
        <v>153</v>
      </c>
      <c r="DB8" s="85">
        <v>4.4299999999999999E-2</v>
      </c>
      <c r="DC8" s="85">
        <v>5.9999999999999995E-4</v>
      </c>
      <c r="DD8" s="66">
        <f t="shared" si="7"/>
        <v>1.329</v>
      </c>
      <c r="DE8" s="66">
        <f t="shared" si="7"/>
        <v>1.7999999999999999E-2</v>
      </c>
      <c r="DF8" s="505"/>
      <c r="DG8" s="505"/>
      <c r="DH8" s="505"/>
      <c r="DI8" s="505"/>
      <c r="DJ8" s="505"/>
      <c r="DK8" s="505"/>
      <c r="DL8" s="81" t="s">
        <v>146</v>
      </c>
      <c r="DM8" s="81" t="s">
        <v>153</v>
      </c>
      <c r="DN8" s="82">
        <v>1.2765</v>
      </c>
      <c r="DO8" s="82">
        <v>0.39079999999999998</v>
      </c>
      <c r="DP8" s="81">
        <f t="shared" si="8"/>
        <v>63.824999999999996</v>
      </c>
      <c r="DQ8" s="81">
        <f t="shared" si="8"/>
        <v>19.54</v>
      </c>
      <c r="DR8" s="502"/>
      <c r="DS8" s="502"/>
      <c r="DT8" s="502"/>
      <c r="DU8" s="502"/>
      <c r="DV8" s="502"/>
      <c r="DW8" s="502"/>
      <c r="DX8" s="86" t="s">
        <v>147</v>
      </c>
      <c r="DY8" s="86" t="s">
        <v>153</v>
      </c>
      <c r="DZ8" s="86">
        <v>0.35249999999999998</v>
      </c>
      <c r="EA8" s="86">
        <v>0</v>
      </c>
      <c r="EB8" s="86">
        <f t="shared" si="9"/>
        <v>7.05</v>
      </c>
      <c r="EC8" s="86">
        <f t="shared" si="9"/>
        <v>0</v>
      </c>
      <c r="ED8" s="499"/>
      <c r="EE8" s="499"/>
      <c r="EF8" s="499"/>
      <c r="EG8" s="499"/>
      <c r="EH8" s="499"/>
      <c r="EI8" s="499"/>
      <c r="EJ8" s="87" t="s">
        <v>148</v>
      </c>
      <c r="EK8" s="87" t="s">
        <v>153</v>
      </c>
      <c r="EL8" s="88">
        <v>1.0814999999999999</v>
      </c>
      <c r="EM8" s="88">
        <v>0.67400000000000004</v>
      </c>
      <c r="EN8" s="70">
        <f t="shared" si="10"/>
        <v>64.89</v>
      </c>
      <c r="EO8" s="70">
        <f t="shared" si="10"/>
        <v>40.440000000000005</v>
      </c>
      <c r="EP8" s="511"/>
      <c r="EQ8" s="511"/>
      <c r="ER8" s="511"/>
      <c r="ES8" s="511"/>
      <c r="ET8" s="511"/>
      <c r="EU8" s="511"/>
      <c r="EV8" s="75" t="s">
        <v>149</v>
      </c>
      <c r="EW8" s="75" t="s">
        <v>153</v>
      </c>
      <c r="EX8" s="75">
        <v>1.7999999999999999E-2</v>
      </c>
      <c r="EY8" s="76">
        <v>0</v>
      </c>
      <c r="EZ8" s="508"/>
      <c r="FA8" s="508"/>
      <c r="FB8" s="508"/>
      <c r="FC8" s="508"/>
      <c r="FD8" s="508"/>
      <c r="FE8" s="508"/>
      <c r="FF8" s="72" t="s">
        <v>150</v>
      </c>
      <c r="FG8" s="78" t="s">
        <v>153</v>
      </c>
      <c r="FH8" s="89">
        <v>1.9786999999999999</v>
      </c>
      <c r="FI8" s="89">
        <v>1.1939</v>
      </c>
      <c r="FJ8" s="72">
        <f t="shared" si="12"/>
        <v>197.87</v>
      </c>
      <c r="FK8" s="72">
        <f t="shared" si="12"/>
        <v>119.39</v>
      </c>
      <c r="FL8" s="513"/>
      <c r="FM8" s="513"/>
      <c r="FN8" s="513"/>
      <c r="FO8" s="513"/>
      <c r="FP8" s="513"/>
      <c r="FQ8" s="513"/>
      <c r="FR8" s="29" t="s">
        <v>151</v>
      </c>
      <c r="FS8" s="29" t="s">
        <v>153</v>
      </c>
      <c r="FT8" s="90">
        <v>1.1655</v>
      </c>
      <c r="FU8" s="2">
        <v>0.52210000000000001</v>
      </c>
      <c r="FV8" s="2">
        <f t="shared" si="11"/>
        <v>46.62</v>
      </c>
      <c r="FW8" s="2">
        <f t="shared" si="11"/>
        <v>20.884</v>
      </c>
      <c r="FX8" s="487"/>
      <c r="FY8" s="487"/>
      <c r="FZ8" s="487"/>
      <c r="GA8" s="487"/>
      <c r="GB8" s="487"/>
      <c r="GC8" s="487"/>
    </row>
    <row r="9" spans="1:185">
      <c r="A9" s="74" t="s">
        <v>135</v>
      </c>
      <c r="B9" s="74">
        <v>26.388000000000002</v>
      </c>
      <c r="C9" s="74">
        <v>15.263999999999999</v>
      </c>
      <c r="D9" s="532"/>
      <c r="E9" s="532"/>
      <c r="F9" s="533"/>
      <c r="G9" s="536"/>
      <c r="H9" s="539"/>
      <c r="I9" s="539"/>
      <c r="J9" s="75" t="s">
        <v>136</v>
      </c>
      <c r="K9" s="75" t="s">
        <v>154</v>
      </c>
      <c r="L9" s="76">
        <v>2.8151999999999999</v>
      </c>
      <c r="M9" s="76">
        <v>0</v>
      </c>
      <c r="N9" s="530"/>
      <c r="O9" s="530"/>
      <c r="P9" s="530"/>
      <c r="Q9" s="530"/>
      <c r="R9" s="530"/>
      <c r="S9" s="530"/>
      <c r="T9" s="77" t="s">
        <v>138</v>
      </c>
      <c r="U9" s="77" t="s">
        <v>154</v>
      </c>
      <c r="V9" s="77">
        <v>7.1099999999999997E-2</v>
      </c>
      <c r="W9" s="77">
        <v>0</v>
      </c>
      <c r="X9" s="77">
        <f t="shared" si="0"/>
        <v>3.5549999999999997</v>
      </c>
      <c r="Y9" s="77">
        <f t="shared" si="0"/>
        <v>0</v>
      </c>
      <c r="Z9" s="528"/>
      <c r="AA9" s="528"/>
      <c r="AB9" s="528"/>
      <c r="AC9" s="528"/>
      <c r="AD9" s="528"/>
      <c r="AE9" s="528"/>
      <c r="AF9" s="78" t="s">
        <v>139</v>
      </c>
      <c r="AG9" s="78" t="s">
        <v>154</v>
      </c>
      <c r="AH9" s="78">
        <v>3.9199999999999999E-2</v>
      </c>
      <c r="AI9" s="78">
        <v>0</v>
      </c>
      <c r="AJ9" s="72">
        <f t="shared" si="1"/>
        <v>1.96</v>
      </c>
      <c r="AK9" s="72">
        <f t="shared" si="1"/>
        <v>0</v>
      </c>
      <c r="AL9" s="526"/>
      <c r="AM9" s="526"/>
      <c r="AN9" s="526"/>
      <c r="AO9" s="526"/>
      <c r="AP9" s="526"/>
      <c r="AQ9" s="526"/>
      <c r="AR9" s="79" t="s">
        <v>140</v>
      </c>
      <c r="AS9" s="79" t="s">
        <v>154</v>
      </c>
      <c r="AT9" s="91">
        <v>1.0012000000000001</v>
      </c>
      <c r="AU9" s="91">
        <v>0.61160000000000003</v>
      </c>
      <c r="AV9" s="80">
        <f t="shared" si="2"/>
        <v>150.18</v>
      </c>
      <c r="AW9" s="80">
        <f t="shared" si="2"/>
        <v>91.740000000000009</v>
      </c>
      <c r="AX9" s="524"/>
      <c r="AY9" s="524"/>
      <c r="AZ9" s="524"/>
      <c r="BA9" s="524"/>
      <c r="BB9" s="524"/>
      <c r="BC9" s="524"/>
      <c r="BD9" s="81" t="s">
        <v>141</v>
      </c>
      <c r="BE9" s="81" t="s">
        <v>154</v>
      </c>
      <c r="BF9" s="82">
        <v>0.96599999999999997</v>
      </c>
      <c r="BG9" s="82">
        <v>0.71530000000000005</v>
      </c>
      <c r="BH9" s="59">
        <f t="shared" si="3"/>
        <v>96.6</v>
      </c>
      <c r="BI9" s="59">
        <f t="shared" si="3"/>
        <v>71.53</v>
      </c>
      <c r="BJ9" s="502"/>
      <c r="BK9" s="502"/>
      <c r="BL9" s="502"/>
      <c r="BM9" s="502"/>
      <c r="BN9" s="502"/>
      <c r="BO9" s="502"/>
      <c r="BP9" s="83" t="s">
        <v>142</v>
      </c>
      <c r="BQ9" s="83" t="s">
        <v>154</v>
      </c>
      <c r="BR9" s="83">
        <v>2.98E-2</v>
      </c>
      <c r="BS9" s="83">
        <v>7.7000000000000002E-3</v>
      </c>
      <c r="BT9" s="61">
        <f t="shared" si="4"/>
        <v>35.76</v>
      </c>
      <c r="BU9" s="61">
        <f t="shared" si="4"/>
        <v>9.24</v>
      </c>
      <c r="BV9" s="521"/>
      <c r="BW9" s="521"/>
      <c r="BX9" s="521"/>
      <c r="BY9" s="521"/>
      <c r="BZ9" s="521"/>
      <c r="CA9" s="521"/>
      <c r="CB9" s="39" t="s">
        <v>143</v>
      </c>
      <c r="CC9" s="39" t="s">
        <v>154</v>
      </c>
      <c r="CD9" s="39">
        <v>0.2354</v>
      </c>
      <c r="CE9" s="39">
        <v>7.22E-2</v>
      </c>
      <c r="CF9" s="41">
        <f t="shared" si="5"/>
        <v>564.96</v>
      </c>
      <c r="CG9" s="41">
        <f t="shared" si="5"/>
        <v>173.28</v>
      </c>
      <c r="CH9" s="518"/>
      <c r="CI9" s="518"/>
      <c r="CJ9" s="518"/>
      <c r="CK9" s="518"/>
      <c r="CL9" s="518"/>
      <c r="CM9" s="518"/>
      <c r="CN9" s="84" t="s">
        <v>144</v>
      </c>
      <c r="CO9" s="84" t="s">
        <v>154</v>
      </c>
      <c r="CP9" s="84">
        <v>0.318</v>
      </c>
      <c r="CQ9" s="84">
        <v>0.16930000000000001</v>
      </c>
      <c r="CR9" s="64">
        <f t="shared" si="6"/>
        <v>381.6</v>
      </c>
      <c r="CS9" s="64">
        <f t="shared" si="6"/>
        <v>203.16</v>
      </c>
      <c r="CT9" s="515"/>
      <c r="CU9" s="515"/>
      <c r="CV9" s="515"/>
      <c r="CW9" s="515"/>
      <c r="CX9" s="515"/>
      <c r="CY9" s="515"/>
      <c r="CZ9" s="85" t="s">
        <v>145</v>
      </c>
      <c r="DA9" s="85" t="s">
        <v>154</v>
      </c>
      <c r="DB9" s="85">
        <v>4.4499999999999998E-2</v>
      </c>
      <c r="DC9" s="85">
        <v>5.9999999999999995E-4</v>
      </c>
      <c r="DD9" s="66">
        <f t="shared" si="7"/>
        <v>1.335</v>
      </c>
      <c r="DE9" s="66">
        <f t="shared" si="7"/>
        <v>1.7999999999999999E-2</v>
      </c>
      <c r="DF9" s="505"/>
      <c r="DG9" s="505"/>
      <c r="DH9" s="505"/>
      <c r="DI9" s="505"/>
      <c r="DJ9" s="505"/>
      <c r="DK9" s="505"/>
      <c r="DL9" s="81" t="s">
        <v>146</v>
      </c>
      <c r="DM9" s="81" t="s">
        <v>154</v>
      </c>
      <c r="DN9" s="82">
        <v>0.85119999999999996</v>
      </c>
      <c r="DO9" s="82">
        <v>0.21290000000000001</v>
      </c>
      <c r="DP9" s="81">
        <f t="shared" si="8"/>
        <v>42.559999999999995</v>
      </c>
      <c r="DQ9" s="81">
        <f t="shared" si="8"/>
        <v>10.645</v>
      </c>
      <c r="DR9" s="502"/>
      <c r="DS9" s="502"/>
      <c r="DT9" s="502"/>
      <c r="DU9" s="502"/>
      <c r="DV9" s="502"/>
      <c r="DW9" s="502"/>
      <c r="DX9" s="86" t="s">
        <v>147</v>
      </c>
      <c r="DY9" s="86" t="s">
        <v>154</v>
      </c>
      <c r="DZ9" s="86">
        <v>0.2918</v>
      </c>
      <c r="EA9" s="86">
        <v>0</v>
      </c>
      <c r="EB9" s="86">
        <f t="shared" si="9"/>
        <v>5.8360000000000003</v>
      </c>
      <c r="EC9" s="86">
        <f t="shared" si="9"/>
        <v>0</v>
      </c>
      <c r="ED9" s="499"/>
      <c r="EE9" s="499"/>
      <c r="EF9" s="499"/>
      <c r="EG9" s="499"/>
      <c r="EH9" s="499"/>
      <c r="EI9" s="499"/>
      <c r="EJ9" s="87" t="s">
        <v>148</v>
      </c>
      <c r="EK9" s="87" t="s">
        <v>154</v>
      </c>
      <c r="EL9" s="88">
        <v>1.0874999999999999</v>
      </c>
      <c r="EM9" s="88">
        <v>0.67779999999999996</v>
      </c>
      <c r="EN9" s="70">
        <f t="shared" si="10"/>
        <v>65.25</v>
      </c>
      <c r="EO9" s="70">
        <f t="shared" si="10"/>
        <v>40.667999999999999</v>
      </c>
      <c r="EP9" s="511"/>
      <c r="EQ9" s="511"/>
      <c r="ER9" s="511"/>
      <c r="ES9" s="511"/>
      <c r="ET9" s="511"/>
      <c r="EU9" s="511"/>
      <c r="EV9" s="75" t="s">
        <v>149</v>
      </c>
      <c r="EW9" s="75" t="s">
        <v>154</v>
      </c>
      <c r="EX9" s="75">
        <v>1.44E-2</v>
      </c>
      <c r="EY9" s="76">
        <v>0</v>
      </c>
      <c r="EZ9" s="508"/>
      <c r="FA9" s="508"/>
      <c r="FB9" s="508"/>
      <c r="FC9" s="508"/>
      <c r="FD9" s="508"/>
      <c r="FE9" s="508"/>
      <c r="FF9" s="72" t="s">
        <v>150</v>
      </c>
      <c r="FG9" s="78" t="s">
        <v>154</v>
      </c>
      <c r="FH9" s="89">
        <v>1.8524</v>
      </c>
      <c r="FI9" s="72">
        <v>0.88729999999999998</v>
      </c>
      <c r="FJ9" s="72">
        <f t="shared" si="12"/>
        <v>185.24</v>
      </c>
      <c r="FK9" s="72">
        <f t="shared" si="12"/>
        <v>88.73</v>
      </c>
      <c r="FL9" s="513"/>
      <c r="FM9" s="513"/>
      <c r="FN9" s="513"/>
      <c r="FO9" s="513"/>
      <c r="FP9" s="513"/>
      <c r="FQ9" s="513"/>
      <c r="FR9" s="29" t="s">
        <v>151</v>
      </c>
      <c r="FS9" s="29" t="s">
        <v>154</v>
      </c>
      <c r="FT9" s="2">
        <v>0.95079999999999998</v>
      </c>
      <c r="FU9" s="2">
        <v>0.37009999999999998</v>
      </c>
      <c r="FV9" s="2">
        <f t="shared" si="11"/>
        <v>38.031999999999996</v>
      </c>
      <c r="FW9" s="2">
        <f t="shared" si="11"/>
        <v>14.803999999999998</v>
      </c>
      <c r="FX9" s="487"/>
      <c r="FY9" s="487"/>
      <c r="FZ9" s="487"/>
      <c r="GA9" s="487"/>
      <c r="GB9" s="487"/>
      <c r="GC9" s="487"/>
    </row>
    <row r="10" spans="1:185">
      <c r="A10" s="74" t="s">
        <v>135</v>
      </c>
      <c r="B10" s="74">
        <v>26.9316</v>
      </c>
      <c r="C10" s="74">
        <v>15.641999999999999</v>
      </c>
      <c r="D10" s="532"/>
      <c r="E10" s="532"/>
      <c r="F10" s="531" t="s">
        <v>155</v>
      </c>
      <c r="G10" s="534">
        <f>(MAX(B10:B22)*13*30)</f>
        <v>13785.875999999998</v>
      </c>
      <c r="H10" s="537"/>
      <c r="I10" s="537"/>
      <c r="J10" s="75" t="s">
        <v>136</v>
      </c>
      <c r="K10" s="75" t="s">
        <v>156</v>
      </c>
      <c r="L10" s="76">
        <v>2.8079999999999998</v>
      </c>
      <c r="M10" s="76">
        <v>0</v>
      </c>
      <c r="N10" s="530"/>
      <c r="O10" s="530"/>
      <c r="P10" s="529" t="s">
        <v>155</v>
      </c>
      <c r="Q10" s="529">
        <f>(MAX(L10:L22)*13*30)</f>
        <v>5513.5079999999998</v>
      </c>
      <c r="R10" s="529"/>
      <c r="S10" s="529"/>
      <c r="T10" s="77" t="s">
        <v>138</v>
      </c>
      <c r="U10" s="77" t="s">
        <v>156</v>
      </c>
      <c r="V10" s="77">
        <v>4.5199999999999997E-2</v>
      </c>
      <c r="W10" s="77">
        <v>0</v>
      </c>
      <c r="X10" s="77">
        <f t="shared" si="0"/>
        <v>2.2599999999999998</v>
      </c>
      <c r="Y10" s="77">
        <f t="shared" si="0"/>
        <v>0</v>
      </c>
      <c r="Z10" s="528"/>
      <c r="AA10" s="528"/>
      <c r="AB10" s="527" t="s">
        <v>155</v>
      </c>
      <c r="AC10" s="527">
        <f>(MAX(X10:X22)*13*30)</f>
        <v>15194.400000000001</v>
      </c>
      <c r="AD10" s="527"/>
      <c r="AE10" s="527"/>
      <c r="AF10" s="78" t="s">
        <v>139</v>
      </c>
      <c r="AG10" s="78" t="s">
        <v>156</v>
      </c>
      <c r="AH10" s="78">
        <v>3.9399999999999998E-2</v>
      </c>
      <c r="AI10" s="78">
        <v>0</v>
      </c>
      <c r="AJ10" s="72">
        <f t="shared" si="1"/>
        <v>1.97</v>
      </c>
      <c r="AK10" s="72">
        <f t="shared" si="1"/>
        <v>0</v>
      </c>
      <c r="AL10" s="526"/>
      <c r="AM10" s="526"/>
      <c r="AN10" s="525" t="s">
        <v>155</v>
      </c>
      <c r="AO10" s="525">
        <f>(MAX(AJ10:AJ22)*13*30)</f>
        <v>33656.999999999993</v>
      </c>
      <c r="AP10" s="525"/>
      <c r="AQ10" s="525"/>
      <c r="AR10" s="79" t="s">
        <v>140</v>
      </c>
      <c r="AS10" s="79" t="s">
        <v>156</v>
      </c>
      <c r="AT10" s="91">
        <v>1.278</v>
      </c>
      <c r="AU10" s="91">
        <v>0.76790000000000003</v>
      </c>
      <c r="AV10" s="80">
        <f t="shared" si="2"/>
        <v>191.70000000000002</v>
      </c>
      <c r="AW10" s="80">
        <f t="shared" si="2"/>
        <v>115.185</v>
      </c>
      <c r="AX10" s="524"/>
      <c r="AY10" s="524"/>
      <c r="AZ10" s="523" t="s">
        <v>155</v>
      </c>
      <c r="BA10" s="523">
        <f>(MAX(AV10:AV22)*13*30)</f>
        <v>74763.000000000015</v>
      </c>
      <c r="BB10" s="523"/>
      <c r="BC10" s="523"/>
      <c r="BD10" s="81" t="s">
        <v>141</v>
      </c>
      <c r="BE10" s="81" t="s">
        <v>156</v>
      </c>
      <c r="BF10" s="82">
        <v>0.96599999999999997</v>
      </c>
      <c r="BG10" s="82">
        <v>0.71020000000000005</v>
      </c>
      <c r="BH10" s="59">
        <f t="shared" si="3"/>
        <v>96.6</v>
      </c>
      <c r="BI10" s="59">
        <f t="shared" si="3"/>
        <v>71.02000000000001</v>
      </c>
      <c r="BJ10" s="502"/>
      <c r="BK10" s="502"/>
      <c r="BL10" s="501" t="s">
        <v>155</v>
      </c>
      <c r="BM10" s="501">
        <f>(MAX(BH10:BH22)*13*30)</f>
        <v>43531.799999999996</v>
      </c>
      <c r="BN10" s="501"/>
      <c r="BO10" s="501"/>
      <c r="BP10" s="83" t="s">
        <v>142</v>
      </c>
      <c r="BQ10" s="83" t="s">
        <v>156</v>
      </c>
      <c r="BR10" s="83">
        <v>3.5799999999999998E-2</v>
      </c>
      <c r="BS10" s="83">
        <v>9.5999999999999992E-3</v>
      </c>
      <c r="BT10" s="61">
        <f t="shared" si="4"/>
        <v>42.96</v>
      </c>
      <c r="BU10" s="61">
        <f t="shared" si="4"/>
        <v>11.52</v>
      </c>
      <c r="BV10" s="521"/>
      <c r="BW10" s="521"/>
      <c r="BX10" s="520" t="s">
        <v>155</v>
      </c>
      <c r="BY10" s="520">
        <f>(MAX(BT10:BT22)*13*30)</f>
        <v>33602.399999999994</v>
      </c>
      <c r="BZ10" s="520"/>
      <c r="CA10" s="520"/>
      <c r="CB10" s="39" t="s">
        <v>143</v>
      </c>
      <c r="CC10" s="39" t="s">
        <v>156</v>
      </c>
      <c r="CD10" s="39">
        <v>0.28510000000000002</v>
      </c>
      <c r="CE10" s="39">
        <v>8.0699999999999994E-2</v>
      </c>
      <c r="CF10" s="41">
        <f t="shared" si="5"/>
        <v>684.24</v>
      </c>
      <c r="CG10" s="41">
        <f t="shared" si="5"/>
        <v>193.67999999999998</v>
      </c>
      <c r="CH10" s="518"/>
      <c r="CI10" s="518"/>
      <c r="CJ10" s="517" t="s">
        <v>155</v>
      </c>
      <c r="CK10" s="517">
        <f>(MAX(CF10:CF22)*13*30)</f>
        <v>266853.60000000003</v>
      </c>
      <c r="CL10" s="517"/>
      <c r="CM10" s="517"/>
      <c r="CN10" s="84" t="s">
        <v>144</v>
      </c>
      <c r="CO10" s="84" t="s">
        <v>156</v>
      </c>
      <c r="CP10" s="84">
        <v>0.31559999999999999</v>
      </c>
      <c r="CQ10" s="84">
        <v>0.16439999999999999</v>
      </c>
      <c r="CR10" s="64">
        <f t="shared" si="6"/>
        <v>378.71999999999997</v>
      </c>
      <c r="CS10" s="64">
        <f t="shared" si="6"/>
        <v>197.28</v>
      </c>
      <c r="CT10" s="515"/>
      <c r="CU10" s="515"/>
      <c r="CV10" s="514" t="s">
        <v>155</v>
      </c>
      <c r="CW10" s="514">
        <f>(MAX(CR10:CR22)*13*30)</f>
        <v>152193.60000000001</v>
      </c>
      <c r="CX10" s="514"/>
      <c r="CY10" s="514"/>
      <c r="CZ10" s="85" t="s">
        <v>145</v>
      </c>
      <c r="DA10" s="85" t="s">
        <v>156</v>
      </c>
      <c r="DB10" s="85">
        <v>4.4400000000000002E-2</v>
      </c>
      <c r="DC10" s="85">
        <v>8.0000000000000004E-4</v>
      </c>
      <c r="DD10" s="66">
        <f t="shared" si="7"/>
        <v>1.3320000000000001</v>
      </c>
      <c r="DE10" s="66">
        <f t="shared" si="7"/>
        <v>2.4E-2</v>
      </c>
      <c r="DF10" s="505"/>
      <c r="DG10" s="505"/>
      <c r="DH10" s="504" t="s">
        <v>155</v>
      </c>
      <c r="DI10" s="504">
        <f>(MAX(DD10:DD22)*13*30)</f>
        <v>18980.91</v>
      </c>
      <c r="DJ10" s="504"/>
      <c r="DK10" s="504"/>
      <c r="DL10" s="81" t="s">
        <v>146</v>
      </c>
      <c r="DM10" s="81" t="s">
        <v>156</v>
      </c>
      <c r="DN10" s="82">
        <v>0.55569999999999997</v>
      </c>
      <c r="DO10" s="82">
        <v>0</v>
      </c>
      <c r="DP10" s="81">
        <f t="shared" si="8"/>
        <v>27.785</v>
      </c>
      <c r="DQ10" s="81">
        <f t="shared" si="8"/>
        <v>0</v>
      </c>
      <c r="DR10" s="502"/>
      <c r="DS10" s="502"/>
      <c r="DT10" s="501" t="s">
        <v>155</v>
      </c>
      <c r="DU10" s="501">
        <f>(MAX(DP10:DP22)*13*30)</f>
        <v>37445.85</v>
      </c>
      <c r="DV10" s="501"/>
      <c r="DW10" s="501"/>
      <c r="DX10" s="86" t="s">
        <v>147</v>
      </c>
      <c r="DY10" s="86" t="s">
        <v>156</v>
      </c>
      <c r="DZ10" s="86">
        <v>0.3483</v>
      </c>
      <c r="EA10" s="86">
        <v>0</v>
      </c>
      <c r="EB10" s="86">
        <f t="shared" si="9"/>
        <v>6.9660000000000002</v>
      </c>
      <c r="EC10" s="86">
        <f t="shared" si="9"/>
        <v>0</v>
      </c>
      <c r="ED10" s="499"/>
      <c r="EE10" s="499"/>
      <c r="EF10" s="498" t="s">
        <v>155</v>
      </c>
      <c r="EG10" s="498">
        <f>(MAX(EB10:EB22)*13*30)</f>
        <v>7673.64</v>
      </c>
      <c r="EH10" s="498"/>
      <c r="EI10" s="498"/>
      <c r="EJ10" s="87" t="s">
        <v>148</v>
      </c>
      <c r="EK10" s="87" t="s">
        <v>156</v>
      </c>
      <c r="EL10" s="88">
        <v>1.1126</v>
      </c>
      <c r="EM10" s="88">
        <v>0.7046</v>
      </c>
      <c r="EN10" s="70">
        <f t="shared" si="10"/>
        <v>66.756</v>
      </c>
      <c r="EO10" s="70">
        <f t="shared" si="10"/>
        <v>42.276000000000003</v>
      </c>
      <c r="EP10" s="511"/>
      <c r="EQ10" s="511"/>
      <c r="ER10" s="510" t="s">
        <v>155</v>
      </c>
      <c r="ES10" s="510">
        <f>(MAX(EN10:EN20)*13*30)</f>
        <v>45140.94</v>
      </c>
      <c r="ET10" s="510"/>
      <c r="EU10" s="510"/>
      <c r="EV10" s="75" t="s">
        <v>149</v>
      </c>
      <c r="EW10" s="75" t="s">
        <v>156</v>
      </c>
      <c r="EX10" s="75">
        <v>1.44E-2</v>
      </c>
      <c r="EY10" s="76">
        <v>0</v>
      </c>
      <c r="EZ10" s="508"/>
      <c r="FA10" s="508"/>
      <c r="FB10" s="507" t="s">
        <v>155</v>
      </c>
      <c r="FC10" s="507">
        <f>(MAX(EX10:EX22)*13*30)</f>
        <v>3125.3040000000001</v>
      </c>
      <c r="FD10" s="507"/>
      <c r="FE10" s="507"/>
      <c r="FF10" s="72" t="s">
        <v>150</v>
      </c>
      <c r="FG10" s="78" t="s">
        <v>156</v>
      </c>
      <c r="FH10" s="89">
        <v>1.1171</v>
      </c>
      <c r="FI10" s="72">
        <v>0.72099999999999997</v>
      </c>
      <c r="FJ10" s="72">
        <f t="shared" si="12"/>
        <v>111.71</v>
      </c>
      <c r="FK10" s="72">
        <f t="shared" si="12"/>
        <v>72.099999999999994</v>
      </c>
      <c r="FL10" s="513"/>
      <c r="FM10" s="513"/>
      <c r="FN10" s="513" t="s">
        <v>155</v>
      </c>
      <c r="FO10" s="513">
        <f>(MAX(FJ10:FJ22)*13*30)</f>
        <v>101860.20000000001</v>
      </c>
      <c r="FP10" s="513"/>
      <c r="FQ10" s="513"/>
      <c r="FR10" s="29" t="s">
        <v>151</v>
      </c>
      <c r="FS10" s="29" t="s">
        <v>156</v>
      </c>
      <c r="FT10" s="2">
        <v>0.98770000000000002</v>
      </c>
      <c r="FU10" s="2">
        <v>0.40949999999999998</v>
      </c>
      <c r="FV10" s="2">
        <f t="shared" si="11"/>
        <v>39.508000000000003</v>
      </c>
      <c r="FW10" s="2">
        <f t="shared" si="11"/>
        <v>16.38</v>
      </c>
      <c r="FX10" s="487"/>
      <c r="FY10" s="487"/>
      <c r="FZ10" s="487" t="s">
        <v>155</v>
      </c>
      <c r="GA10" s="487">
        <f>(MAX(FV10:FV22)*13*30)</f>
        <v>26240.76</v>
      </c>
      <c r="GB10" s="487"/>
      <c r="GC10" s="487"/>
    </row>
    <row r="11" spans="1:185">
      <c r="A11" s="74" t="s">
        <v>135</v>
      </c>
      <c r="B11" s="74">
        <v>24.318000000000001</v>
      </c>
      <c r="C11" s="74">
        <v>14.6952</v>
      </c>
      <c r="D11" s="532"/>
      <c r="E11" s="532"/>
      <c r="F11" s="532"/>
      <c r="G11" s="535"/>
      <c r="H11" s="538"/>
      <c r="I11" s="538"/>
      <c r="J11" s="75" t="s">
        <v>136</v>
      </c>
      <c r="K11" s="75" t="s">
        <v>157</v>
      </c>
      <c r="L11" s="76">
        <v>0.54359999999999997</v>
      </c>
      <c r="M11" s="76">
        <v>0.42480000000000001</v>
      </c>
      <c r="N11" s="530"/>
      <c r="O11" s="530"/>
      <c r="P11" s="530"/>
      <c r="Q11" s="530"/>
      <c r="R11" s="530"/>
      <c r="S11" s="530"/>
      <c r="T11" s="77" t="s">
        <v>138</v>
      </c>
      <c r="U11" s="77" t="s">
        <v>157</v>
      </c>
      <c r="V11" s="77">
        <v>3.44E-2</v>
      </c>
      <c r="W11" s="77">
        <v>0</v>
      </c>
      <c r="X11" s="77">
        <f t="shared" si="0"/>
        <v>1.72</v>
      </c>
      <c r="Y11" s="77">
        <f t="shared" si="0"/>
        <v>0</v>
      </c>
      <c r="Z11" s="528"/>
      <c r="AA11" s="528"/>
      <c r="AB11" s="528"/>
      <c r="AC11" s="528"/>
      <c r="AD11" s="528"/>
      <c r="AE11" s="528"/>
      <c r="AF11" s="78" t="s">
        <v>139</v>
      </c>
      <c r="AG11" s="78" t="s">
        <v>157</v>
      </c>
      <c r="AH11" s="78">
        <v>2.5000000000000001E-3</v>
      </c>
      <c r="AI11" s="78">
        <v>0</v>
      </c>
      <c r="AJ11" s="72">
        <f t="shared" si="1"/>
        <v>0.125</v>
      </c>
      <c r="AK11" s="72">
        <f t="shared" si="1"/>
        <v>0</v>
      </c>
      <c r="AL11" s="526"/>
      <c r="AM11" s="526"/>
      <c r="AN11" s="526"/>
      <c r="AO11" s="526"/>
      <c r="AP11" s="526"/>
      <c r="AQ11" s="526"/>
      <c r="AR11" s="79" t="s">
        <v>140</v>
      </c>
      <c r="AS11" s="79" t="s">
        <v>157</v>
      </c>
      <c r="AT11" s="91">
        <v>0.82599999999999996</v>
      </c>
      <c r="AU11" s="91">
        <v>0.50580000000000003</v>
      </c>
      <c r="AV11" s="80">
        <f t="shared" si="2"/>
        <v>123.89999999999999</v>
      </c>
      <c r="AW11" s="80">
        <f t="shared" si="2"/>
        <v>75.87</v>
      </c>
      <c r="AX11" s="524"/>
      <c r="AY11" s="524"/>
      <c r="AZ11" s="524"/>
      <c r="BA11" s="524"/>
      <c r="BB11" s="524"/>
      <c r="BC11" s="524"/>
      <c r="BD11" s="81" t="s">
        <v>141</v>
      </c>
      <c r="BE11" s="81" t="s">
        <v>157</v>
      </c>
      <c r="BF11" s="82">
        <v>0.97370000000000001</v>
      </c>
      <c r="BG11" s="82">
        <v>0.72230000000000005</v>
      </c>
      <c r="BH11" s="59">
        <f t="shared" si="3"/>
        <v>97.37</v>
      </c>
      <c r="BI11" s="59">
        <f t="shared" si="3"/>
        <v>72.23</v>
      </c>
      <c r="BJ11" s="502"/>
      <c r="BK11" s="502"/>
      <c r="BL11" s="502"/>
      <c r="BM11" s="502"/>
      <c r="BN11" s="502"/>
      <c r="BO11" s="502"/>
      <c r="BP11" s="83" t="s">
        <v>142</v>
      </c>
      <c r="BQ11" s="83" t="s">
        <v>157</v>
      </c>
      <c r="BR11" s="83">
        <v>1.01E-2</v>
      </c>
      <c r="BS11" s="83">
        <v>1.24E-2</v>
      </c>
      <c r="BT11" s="61">
        <f t="shared" si="4"/>
        <v>12.12</v>
      </c>
      <c r="BU11" s="61">
        <f t="shared" si="4"/>
        <v>14.879999999999999</v>
      </c>
      <c r="BV11" s="521"/>
      <c r="BW11" s="521"/>
      <c r="BX11" s="521"/>
      <c r="BY11" s="521"/>
      <c r="BZ11" s="521"/>
      <c r="CA11" s="521"/>
      <c r="CB11" s="39" t="s">
        <v>143</v>
      </c>
      <c r="CC11" s="39" t="s">
        <v>157</v>
      </c>
      <c r="CD11" s="39">
        <v>0.26669999999999999</v>
      </c>
      <c r="CE11" s="39">
        <v>7.6200000000000004E-2</v>
      </c>
      <c r="CF11" s="41">
        <f t="shared" si="5"/>
        <v>640.07999999999993</v>
      </c>
      <c r="CG11" s="41">
        <f t="shared" si="5"/>
        <v>182.88</v>
      </c>
      <c r="CH11" s="518"/>
      <c r="CI11" s="518"/>
      <c r="CJ11" s="518"/>
      <c r="CK11" s="518"/>
      <c r="CL11" s="518"/>
      <c r="CM11" s="518"/>
      <c r="CN11" s="84" t="s">
        <v>144</v>
      </c>
      <c r="CO11" s="84" t="s">
        <v>157</v>
      </c>
      <c r="CP11" s="84">
        <v>0.32029999999999997</v>
      </c>
      <c r="CQ11" s="84">
        <v>0.16800000000000001</v>
      </c>
      <c r="CR11" s="64">
        <f t="shared" si="6"/>
        <v>384.35999999999996</v>
      </c>
      <c r="CS11" s="64">
        <f t="shared" si="6"/>
        <v>201.60000000000002</v>
      </c>
      <c r="CT11" s="515"/>
      <c r="CU11" s="515"/>
      <c r="CV11" s="515"/>
      <c r="CW11" s="515"/>
      <c r="CX11" s="515"/>
      <c r="CY11" s="515"/>
      <c r="CZ11" s="85" t="s">
        <v>145</v>
      </c>
      <c r="DA11" s="85" t="s">
        <v>157</v>
      </c>
      <c r="DB11" s="92">
        <v>1.6223000000000001</v>
      </c>
      <c r="DC11" s="92">
        <v>1.2031000000000001</v>
      </c>
      <c r="DD11" s="66">
        <f t="shared" si="7"/>
        <v>48.669000000000004</v>
      </c>
      <c r="DE11" s="66">
        <f t="shared" si="7"/>
        <v>36.093000000000004</v>
      </c>
      <c r="DF11" s="505"/>
      <c r="DG11" s="505"/>
      <c r="DH11" s="505"/>
      <c r="DI11" s="505"/>
      <c r="DJ11" s="505"/>
      <c r="DK11" s="505"/>
      <c r="DL11" s="81" t="s">
        <v>146</v>
      </c>
      <c r="DM11" s="81" t="s">
        <v>157</v>
      </c>
      <c r="DN11" s="82">
        <v>0.68579999999999997</v>
      </c>
      <c r="DO11" s="82">
        <v>2.9999999999999997E-4</v>
      </c>
      <c r="DP11" s="81">
        <f t="shared" si="8"/>
        <v>34.29</v>
      </c>
      <c r="DQ11" s="81">
        <f t="shared" si="8"/>
        <v>1.4999999999999999E-2</v>
      </c>
      <c r="DR11" s="502"/>
      <c r="DS11" s="502"/>
      <c r="DT11" s="502"/>
      <c r="DU11" s="502"/>
      <c r="DV11" s="502"/>
      <c r="DW11" s="502"/>
      <c r="DX11" s="86" t="s">
        <v>147</v>
      </c>
      <c r="DY11" s="86" t="s">
        <v>157</v>
      </c>
      <c r="DZ11" s="86">
        <v>0.26079999999999998</v>
      </c>
      <c r="EA11" s="86">
        <v>0</v>
      </c>
      <c r="EB11" s="86">
        <f t="shared" si="9"/>
        <v>5.2159999999999993</v>
      </c>
      <c r="EC11" s="86">
        <f t="shared" si="9"/>
        <v>0</v>
      </c>
      <c r="ED11" s="499"/>
      <c r="EE11" s="499"/>
      <c r="EF11" s="499"/>
      <c r="EG11" s="499"/>
      <c r="EH11" s="499"/>
      <c r="EI11" s="499"/>
      <c r="EJ11" s="87" t="s">
        <v>148</v>
      </c>
      <c r="EK11" s="87" t="s">
        <v>157</v>
      </c>
      <c r="EL11" s="88">
        <v>1.2276</v>
      </c>
      <c r="EM11" s="88">
        <v>0.64629999999999999</v>
      </c>
      <c r="EN11" s="70">
        <f t="shared" si="10"/>
        <v>73.656000000000006</v>
      </c>
      <c r="EO11" s="70">
        <f t="shared" si="10"/>
        <v>38.777999999999999</v>
      </c>
      <c r="EP11" s="511"/>
      <c r="EQ11" s="511"/>
      <c r="ER11" s="511"/>
      <c r="ES11" s="511"/>
      <c r="ET11" s="511"/>
      <c r="EU11" s="511"/>
      <c r="EV11" s="75" t="s">
        <v>149</v>
      </c>
      <c r="EW11" s="75" t="s">
        <v>157</v>
      </c>
      <c r="EX11" s="76">
        <v>7.4916</v>
      </c>
      <c r="EY11" s="76">
        <v>11.286</v>
      </c>
      <c r="EZ11" s="508"/>
      <c r="FA11" s="508"/>
      <c r="FB11" s="508"/>
      <c r="FC11" s="508"/>
      <c r="FD11" s="508"/>
      <c r="FE11" s="508"/>
      <c r="FF11" s="72" t="s">
        <v>150</v>
      </c>
      <c r="FG11" s="78" t="s">
        <v>157</v>
      </c>
      <c r="FH11" s="89">
        <v>1.8992</v>
      </c>
      <c r="FI11" s="72">
        <v>0.87980000000000003</v>
      </c>
      <c r="FJ11" s="72">
        <f t="shared" si="12"/>
        <v>189.92</v>
      </c>
      <c r="FK11" s="72">
        <f t="shared" si="12"/>
        <v>87.98</v>
      </c>
      <c r="FL11" s="513"/>
      <c r="FM11" s="513"/>
      <c r="FN11" s="513"/>
      <c r="FO11" s="513"/>
      <c r="FP11" s="513"/>
      <c r="FQ11" s="513"/>
      <c r="FR11" s="29" t="s">
        <v>151</v>
      </c>
      <c r="FS11" s="29" t="s">
        <v>157</v>
      </c>
      <c r="FT11" s="90">
        <v>1.0507</v>
      </c>
      <c r="FU11" s="2">
        <v>0.51280000000000003</v>
      </c>
      <c r="FV11" s="2">
        <f t="shared" si="11"/>
        <v>42.027999999999999</v>
      </c>
      <c r="FW11" s="2">
        <f t="shared" si="11"/>
        <v>20.512</v>
      </c>
      <c r="FX11" s="487"/>
      <c r="FY11" s="487"/>
      <c r="FZ11" s="487"/>
      <c r="GA11" s="487"/>
      <c r="GB11" s="487"/>
      <c r="GC11" s="487"/>
    </row>
    <row r="12" spans="1:185">
      <c r="A12" s="74" t="s">
        <v>135</v>
      </c>
      <c r="B12" s="74">
        <v>26.546399999999998</v>
      </c>
      <c r="C12" s="74">
        <v>14.533200000000001</v>
      </c>
      <c r="D12" s="532"/>
      <c r="E12" s="532"/>
      <c r="F12" s="532"/>
      <c r="G12" s="535"/>
      <c r="H12" s="538"/>
      <c r="I12" s="538"/>
      <c r="J12" s="75" t="s">
        <v>136</v>
      </c>
      <c r="K12" s="75" t="s">
        <v>158</v>
      </c>
      <c r="L12" s="76">
        <v>0.40679999999999999</v>
      </c>
      <c r="M12" s="76">
        <v>0.34200000000000003</v>
      </c>
      <c r="N12" s="530"/>
      <c r="O12" s="530"/>
      <c r="P12" s="530"/>
      <c r="Q12" s="530"/>
      <c r="R12" s="530"/>
      <c r="S12" s="530"/>
      <c r="T12" s="77" t="s">
        <v>138</v>
      </c>
      <c r="U12" s="77" t="s">
        <v>158</v>
      </c>
      <c r="V12" s="77">
        <v>0.68789999999999996</v>
      </c>
      <c r="W12" s="77">
        <v>7.7000000000000002E-3</v>
      </c>
      <c r="X12" s="77">
        <f t="shared" si="0"/>
        <v>34.394999999999996</v>
      </c>
      <c r="Y12" s="77">
        <f t="shared" si="0"/>
        <v>0.38500000000000001</v>
      </c>
      <c r="Z12" s="528"/>
      <c r="AA12" s="528"/>
      <c r="AB12" s="528"/>
      <c r="AC12" s="528"/>
      <c r="AD12" s="528"/>
      <c r="AE12" s="528"/>
      <c r="AF12" s="78" t="s">
        <v>139</v>
      </c>
      <c r="AG12" s="78" t="s">
        <v>158</v>
      </c>
      <c r="AH12" s="78">
        <v>3.39E-2</v>
      </c>
      <c r="AI12" s="78">
        <v>8.0000000000000004E-4</v>
      </c>
      <c r="AJ12" s="72">
        <f t="shared" si="1"/>
        <v>1.6950000000000001</v>
      </c>
      <c r="AK12" s="72">
        <f t="shared" si="1"/>
        <v>0.04</v>
      </c>
      <c r="AL12" s="526"/>
      <c r="AM12" s="526"/>
      <c r="AN12" s="526"/>
      <c r="AO12" s="526"/>
      <c r="AP12" s="526"/>
      <c r="AQ12" s="526"/>
      <c r="AR12" s="79" t="s">
        <v>140</v>
      </c>
      <c r="AS12" s="79" t="s">
        <v>158</v>
      </c>
      <c r="AT12" s="91">
        <v>0.64149999999999996</v>
      </c>
      <c r="AU12" s="91">
        <v>0.38519999999999999</v>
      </c>
      <c r="AV12" s="80">
        <f t="shared" si="2"/>
        <v>96.224999999999994</v>
      </c>
      <c r="AW12" s="80">
        <f t="shared" si="2"/>
        <v>57.78</v>
      </c>
      <c r="AX12" s="524"/>
      <c r="AY12" s="524"/>
      <c r="AZ12" s="524"/>
      <c r="BA12" s="524"/>
      <c r="BB12" s="524"/>
      <c r="BC12" s="524"/>
      <c r="BD12" s="81" t="s">
        <v>141</v>
      </c>
      <c r="BE12" s="81" t="s">
        <v>158</v>
      </c>
      <c r="BF12" s="81">
        <v>0.93130000000000002</v>
      </c>
      <c r="BG12" s="81">
        <v>0.70530000000000004</v>
      </c>
      <c r="BH12" s="59">
        <f t="shared" si="3"/>
        <v>93.13</v>
      </c>
      <c r="BI12" s="59">
        <f t="shared" si="3"/>
        <v>70.53</v>
      </c>
      <c r="BJ12" s="502"/>
      <c r="BK12" s="502"/>
      <c r="BL12" s="502"/>
      <c r="BM12" s="502"/>
      <c r="BN12" s="502"/>
      <c r="BO12" s="502"/>
      <c r="BP12" s="83" t="s">
        <v>142</v>
      </c>
      <c r="BQ12" s="83" t="s">
        <v>158</v>
      </c>
      <c r="BR12" s="83">
        <v>2.63E-2</v>
      </c>
      <c r="BS12" s="83">
        <v>1.26E-2</v>
      </c>
      <c r="BT12" s="61">
        <f t="shared" si="4"/>
        <v>31.560000000000002</v>
      </c>
      <c r="BU12" s="61">
        <f t="shared" si="4"/>
        <v>15.120000000000001</v>
      </c>
      <c r="BV12" s="521"/>
      <c r="BW12" s="521"/>
      <c r="BX12" s="521"/>
      <c r="BY12" s="521"/>
      <c r="BZ12" s="521"/>
      <c r="CA12" s="521"/>
      <c r="CB12" s="39" t="s">
        <v>143</v>
      </c>
      <c r="CC12" s="39" t="s">
        <v>158</v>
      </c>
      <c r="CD12" s="39">
        <v>0.26640000000000003</v>
      </c>
      <c r="CE12" s="39">
        <v>7.51E-2</v>
      </c>
      <c r="CF12" s="41">
        <f t="shared" si="5"/>
        <v>639.36</v>
      </c>
      <c r="CG12" s="41">
        <f t="shared" si="5"/>
        <v>180.24</v>
      </c>
      <c r="CH12" s="518"/>
      <c r="CI12" s="518"/>
      <c r="CJ12" s="518"/>
      <c r="CK12" s="518"/>
      <c r="CL12" s="518"/>
      <c r="CM12" s="518"/>
      <c r="CN12" s="84" t="s">
        <v>144</v>
      </c>
      <c r="CO12" s="84" t="s">
        <v>158</v>
      </c>
      <c r="CP12" s="84">
        <v>0.31890000000000002</v>
      </c>
      <c r="CQ12" s="84">
        <v>0.1701</v>
      </c>
      <c r="CR12" s="64">
        <f t="shared" si="6"/>
        <v>382.68</v>
      </c>
      <c r="CS12" s="64">
        <f t="shared" si="6"/>
        <v>204.12</v>
      </c>
      <c r="CT12" s="515"/>
      <c r="CU12" s="515"/>
      <c r="CV12" s="515"/>
      <c r="CW12" s="515"/>
      <c r="CX12" s="515"/>
      <c r="CY12" s="515"/>
      <c r="CZ12" s="85" t="s">
        <v>145</v>
      </c>
      <c r="DA12" s="85" t="s">
        <v>158</v>
      </c>
      <c r="DB12" s="92">
        <v>1.4984999999999999</v>
      </c>
      <c r="DC12" s="92">
        <v>1.1771</v>
      </c>
      <c r="DD12" s="66">
        <f t="shared" si="7"/>
        <v>44.954999999999998</v>
      </c>
      <c r="DE12" s="66">
        <f t="shared" si="7"/>
        <v>35.313000000000002</v>
      </c>
      <c r="DF12" s="505"/>
      <c r="DG12" s="505"/>
      <c r="DH12" s="505"/>
      <c r="DI12" s="505"/>
      <c r="DJ12" s="505"/>
      <c r="DK12" s="505"/>
      <c r="DL12" s="81" t="s">
        <v>146</v>
      </c>
      <c r="DM12" s="81" t="s">
        <v>158</v>
      </c>
      <c r="DN12" s="82">
        <v>0.93520000000000003</v>
      </c>
      <c r="DO12" s="82">
        <v>2.3E-2</v>
      </c>
      <c r="DP12" s="81">
        <f t="shared" si="8"/>
        <v>46.760000000000005</v>
      </c>
      <c r="DQ12" s="81">
        <f t="shared" si="8"/>
        <v>1.1499999999999999</v>
      </c>
      <c r="DR12" s="502"/>
      <c r="DS12" s="502"/>
      <c r="DT12" s="502"/>
      <c r="DU12" s="502"/>
      <c r="DV12" s="502"/>
      <c r="DW12" s="502"/>
      <c r="DX12" s="86" t="s">
        <v>147</v>
      </c>
      <c r="DY12" s="86" t="s">
        <v>158</v>
      </c>
      <c r="DZ12" s="86">
        <v>0.72689999999999999</v>
      </c>
      <c r="EA12" s="86">
        <v>0</v>
      </c>
      <c r="EB12" s="86">
        <f t="shared" si="9"/>
        <v>14.538</v>
      </c>
      <c r="EC12" s="86">
        <f t="shared" si="9"/>
        <v>0</v>
      </c>
      <c r="ED12" s="499"/>
      <c r="EE12" s="499"/>
      <c r="EF12" s="499"/>
      <c r="EG12" s="499"/>
      <c r="EH12" s="499"/>
      <c r="EI12" s="499"/>
      <c r="EJ12" s="87" t="s">
        <v>148</v>
      </c>
      <c r="EK12" s="87" t="s">
        <v>158</v>
      </c>
      <c r="EL12" s="88">
        <v>1.4775</v>
      </c>
      <c r="EM12" s="88">
        <v>0.75090000000000001</v>
      </c>
      <c r="EN12" s="70">
        <f t="shared" si="10"/>
        <v>88.65</v>
      </c>
      <c r="EO12" s="70">
        <f t="shared" si="10"/>
        <v>45.054000000000002</v>
      </c>
      <c r="EP12" s="511"/>
      <c r="EQ12" s="511"/>
      <c r="ER12" s="511"/>
      <c r="ES12" s="511"/>
      <c r="ET12" s="511"/>
      <c r="EU12" s="511"/>
      <c r="EV12" s="75" t="s">
        <v>149</v>
      </c>
      <c r="EW12" s="75" t="s">
        <v>158</v>
      </c>
      <c r="EX12" s="76">
        <v>8.0136000000000003</v>
      </c>
      <c r="EY12" s="76">
        <v>10.6236</v>
      </c>
      <c r="EZ12" s="508"/>
      <c r="FA12" s="508"/>
      <c r="FB12" s="508"/>
      <c r="FC12" s="508"/>
      <c r="FD12" s="508"/>
      <c r="FE12" s="508"/>
      <c r="FF12" s="72" t="s">
        <v>150</v>
      </c>
      <c r="FG12" s="78" t="s">
        <v>158</v>
      </c>
      <c r="FH12" s="72">
        <v>0.71120000000000005</v>
      </c>
      <c r="FI12" s="72">
        <v>0.4007</v>
      </c>
      <c r="FJ12" s="72">
        <f t="shared" si="12"/>
        <v>71.12</v>
      </c>
      <c r="FK12" s="72">
        <f t="shared" si="12"/>
        <v>40.07</v>
      </c>
      <c r="FL12" s="513"/>
      <c r="FM12" s="513"/>
      <c r="FN12" s="513"/>
      <c r="FO12" s="513"/>
      <c r="FP12" s="513"/>
      <c r="FQ12" s="513"/>
      <c r="FR12" s="29" t="s">
        <v>151</v>
      </c>
      <c r="FS12" s="29" t="s">
        <v>158</v>
      </c>
      <c r="FT12" s="90">
        <v>1.1469</v>
      </c>
      <c r="FU12" s="2">
        <v>0.68820000000000003</v>
      </c>
      <c r="FV12" s="2">
        <f t="shared" si="11"/>
        <v>45.876000000000005</v>
      </c>
      <c r="FW12" s="2">
        <f t="shared" si="11"/>
        <v>27.528000000000002</v>
      </c>
      <c r="FX12" s="487"/>
      <c r="FY12" s="487"/>
      <c r="FZ12" s="487"/>
      <c r="GA12" s="487"/>
      <c r="GB12" s="487"/>
      <c r="GC12" s="487"/>
    </row>
    <row r="13" spans="1:185">
      <c r="A13" s="74" t="s">
        <v>135</v>
      </c>
      <c r="B13" s="74">
        <v>27.651599999999998</v>
      </c>
      <c r="C13" s="74">
        <v>14.1876</v>
      </c>
      <c r="D13" s="532"/>
      <c r="E13" s="532"/>
      <c r="F13" s="532"/>
      <c r="G13" s="535"/>
      <c r="H13" s="538"/>
      <c r="I13" s="538"/>
      <c r="J13" s="75" t="s">
        <v>136</v>
      </c>
      <c r="K13" s="75" t="s">
        <v>159</v>
      </c>
      <c r="L13" s="76">
        <v>2.4228000000000001</v>
      </c>
      <c r="M13" s="76">
        <v>0.45</v>
      </c>
      <c r="N13" s="530"/>
      <c r="O13" s="530"/>
      <c r="P13" s="530"/>
      <c r="Q13" s="530"/>
      <c r="R13" s="530"/>
      <c r="S13" s="530"/>
      <c r="T13" s="77" t="s">
        <v>138</v>
      </c>
      <c r="U13" s="77" t="s">
        <v>159</v>
      </c>
      <c r="V13" s="77">
        <v>0.74299999999999999</v>
      </c>
      <c r="W13" s="77">
        <v>0</v>
      </c>
      <c r="X13" s="77">
        <f t="shared" si="0"/>
        <v>37.15</v>
      </c>
      <c r="Y13" s="77">
        <f t="shared" si="0"/>
        <v>0</v>
      </c>
      <c r="Z13" s="528"/>
      <c r="AA13" s="528"/>
      <c r="AB13" s="528"/>
      <c r="AC13" s="528"/>
      <c r="AD13" s="528"/>
      <c r="AE13" s="528"/>
      <c r="AF13" s="78" t="s">
        <v>139</v>
      </c>
      <c r="AG13" s="78" t="s">
        <v>159</v>
      </c>
      <c r="AH13" s="93">
        <v>1.5987</v>
      </c>
      <c r="AI13" s="93">
        <v>1.5018</v>
      </c>
      <c r="AJ13" s="72">
        <f t="shared" si="1"/>
        <v>79.935000000000002</v>
      </c>
      <c r="AK13" s="72">
        <f t="shared" si="1"/>
        <v>75.09</v>
      </c>
      <c r="AL13" s="526"/>
      <c r="AM13" s="526"/>
      <c r="AN13" s="526"/>
      <c r="AO13" s="526"/>
      <c r="AP13" s="526"/>
      <c r="AQ13" s="526"/>
      <c r="AR13" s="79" t="s">
        <v>140</v>
      </c>
      <c r="AS13" s="79" t="s">
        <v>159</v>
      </c>
      <c r="AT13" s="91">
        <v>0.73399999999999999</v>
      </c>
      <c r="AU13" s="91">
        <v>0.4365</v>
      </c>
      <c r="AV13" s="80">
        <f t="shared" si="2"/>
        <v>110.1</v>
      </c>
      <c r="AW13" s="80">
        <f t="shared" si="2"/>
        <v>65.474999999999994</v>
      </c>
      <c r="AX13" s="524"/>
      <c r="AY13" s="524"/>
      <c r="AZ13" s="524"/>
      <c r="BA13" s="524"/>
      <c r="BB13" s="524"/>
      <c r="BC13" s="524"/>
      <c r="BD13" s="81" t="s">
        <v>141</v>
      </c>
      <c r="BE13" s="81" t="s">
        <v>159</v>
      </c>
      <c r="BF13" s="81">
        <v>0.93259999999999998</v>
      </c>
      <c r="BG13" s="81">
        <v>0.67149999999999999</v>
      </c>
      <c r="BH13" s="59">
        <f t="shared" si="3"/>
        <v>93.26</v>
      </c>
      <c r="BI13" s="59">
        <f t="shared" si="3"/>
        <v>67.150000000000006</v>
      </c>
      <c r="BJ13" s="502"/>
      <c r="BK13" s="502"/>
      <c r="BL13" s="502"/>
      <c r="BM13" s="502"/>
      <c r="BN13" s="502"/>
      <c r="BO13" s="502"/>
      <c r="BP13" s="83" t="s">
        <v>142</v>
      </c>
      <c r="BQ13" s="83" t="s">
        <v>159</v>
      </c>
      <c r="BR13" s="83">
        <v>4.1500000000000002E-2</v>
      </c>
      <c r="BS13" s="83">
        <v>1.3599999999999999E-2</v>
      </c>
      <c r="BT13" s="61">
        <f t="shared" si="4"/>
        <v>49.800000000000004</v>
      </c>
      <c r="BU13" s="61">
        <f t="shared" si="4"/>
        <v>16.32</v>
      </c>
      <c r="BV13" s="521"/>
      <c r="BW13" s="521"/>
      <c r="BX13" s="521"/>
      <c r="BY13" s="521"/>
      <c r="BZ13" s="521"/>
      <c r="CA13" s="521"/>
      <c r="CB13" s="39" t="s">
        <v>143</v>
      </c>
      <c r="CC13" s="39" t="s">
        <v>159</v>
      </c>
      <c r="CD13" s="39">
        <v>0.18060000000000001</v>
      </c>
      <c r="CE13" s="39">
        <v>4.9500000000000002E-2</v>
      </c>
      <c r="CF13" s="41">
        <f t="shared" si="5"/>
        <v>433.44</v>
      </c>
      <c r="CG13" s="41">
        <f t="shared" si="5"/>
        <v>118.80000000000001</v>
      </c>
      <c r="CH13" s="518"/>
      <c r="CI13" s="518"/>
      <c r="CJ13" s="518"/>
      <c r="CK13" s="518"/>
      <c r="CL13" s="518"/>
      <c r="CM13" s="518"/>
      <c r="CN13" s="84" t="s">
        <v>144</v>
      </c>
      <c r="CO13" s="84" t="s">
        <v>159</v>
      </c>
      <c r="CP13" s="84">
        <v>0.309</v>
      </c>
      <c r="CQ13" s="84">
        <v>0.1555</v>
      </c>
      <c r="CR13" s="64">
        <f t="shared" si="6"/>
        <v>370.8</v>
      </c>
      <c r="CS13" s="64">
        <f t="shared" si="6"/>
        <v>186.6</v>
      </c>
      <c r="CT13" s="515"/>
      <c r="CU13" s="515"/>
      <c r="CV13" s="515"/>
      <c r="CW13" s="515"/>
      <c r="CX13" s="515"/>
      <c r="CY13" s="515"/>
      <c r="CZ13" s="85" t="s">
        <v>145</v>
      </c>
      <c r="DA13" s="85" t="s">
        <v>159</v>
      </c>
      <c r="DB13" s="85">
        <v>1.8200000000000001E-2</v>
      </c>
      <c r="DC13" s="85">
        <v>5.5999999999999999E-3</v>
      </c>
      <c r="DD13" s="66">
        <f t="shared" si="7"/>
        <v>0.54600000000000004</v>
      </c>
      <c r="DE13" s="66">
        <f t="shared" si="7"/>
        <v>0.16800000000000001</v>
      </c>
      <c r="DF13" s="505"/>
      <c r="DG13" s="505"/>
      <c r="DH13" s="505"/>
      <c r="DI13" s="505"/>
      <c r="DJ13" s="505"/>
      <c r="DK13" s="505"/>
      <c r="DL13" s="81" t="s">
        <v>146</v>
      </c>
      <c r="DM13" s="81" t="s">
        <v>159</v>
      </c>
      <c r="DN13" s="82">
        <v>0.83120000000000005</v>
      </c>
      <c r="DO13" s="82">
        <v>0</v>
      </c>
      <c r="DP13" s="81">
        <f t="shared" si="8"/>
        <v>41.56</v>
      </c>
      <c r="DQ13" s="81">
        <f t="shared" si="8"/>
        <v>0</v>
      </c>
      <c r="DR13" s="502"/>
      <c r="DS13" s="502"/>
      <c r="DT13" s="502"/>
      <c r="DU13" s="502"/>
      <c r="DV13" s="502"/>
      <c r="DW13" s="502"/>
      <c r="DX13" s="86" t="s">
        <v>147</v>
      </c>
      <c r="DY13" s="86" t="s">
        <v>159</v>
      </c>
      <c r="DZ13" s="86">
        <v>0.96389999999999998</v>
      </c>
      <c r="EA13" s="86">
        <v>0</v>
      </c>
      <c r="EB13" s="86">
        <f t="shared" si="9"/>
        <v>19.277999999999999</v>
      </c>
      <c r="EC13" s="86">
        <f t="shared" si="9"/>
        <v>0</v>
      </c>
      <c r="ED13" s="499"/>
      <c r="EE13" s="499"/>
      <c r="EF13" s="499"/>
      <c r="EG13" s="499"/>
      <c r="EH13" s="499"/>
      <c r="EI13" s="499"/>
      <c r="EJ13" s="87" t="s">
        <v>148</v>
      </c>
      <c r="EK13" s="87" t="s">
        <v>159</v>
      </c>
      <c r="EL13" s="88">
        <v>1.6192</v>
      </c>
      <c r="EM13" s="88">
        <v>0.86550000000000005</v>
      </c>
      <c r="EN13" s="70">
        <f t="shared" si="10"/>
        <v>97.152000000000001</v>
      </c>
      <c r="EO13" s="70">
        <f t="shared" si="10"/>
        <v>51.93</v>
      </c>
      <c r="EP13" s="511"/>
      <c r="EQ13" s="511"/>
      <c r="ER13" s="511"/>
      <c r="ES13" s="511"/>
      <c r="ET13" s="511"/>
      <c r="EU13" s="511"/>
      <c r="EV13" s="75" t="s">
        <v>149</v>
      </c>
      <c r="EW13" s="75" t="s">
        <v>159</v>
      </c>
      <c r="EX13" s="76">
        <v>5.5511999999999997</v>
      </c>
      <c r="EY13" s="76">
        <v>10.335599999999999</v>
      </c>
      <c r="EZ13" s="508"/>
      <c r="FA13" s="508"/>
      <c r="FB13" s="508"/>
      <c r="FC13" s="508"/>
      <c r="FD13" s="508"/>
      <c r="FE13" s="508"/>
      <c r="FF13" s="72" t="s">
        <v>150</v>
      </c>
      <c r="FG13" s="78" t="s">
        <v>159</v>
      </c>
      <c r="FH13" s="72">
        <v>0.94189999999999996</v>
      </c>
      <c r="FI13" s="72">
        <v>0.64539999999999997</v>
      </c>
      <c r="FJ13" s="72">
        <f t="shared" si="12"/>
        <v>94.19</v>
      </c>
      <c r="FK13" s="72">
        <f t="shared" si="12"/>
        <v>64.539999999999992</v>
      </c>
      <c r="FL13" s="513"/>
      <c r="FM13" s="513"/>
      <c r="FN13" s="513"/>
      <c r="FO13" s="513"/>
      <c r="FP13" s="513"/>
      <c r="FQ13" s="513"/>
      <c r="FR13" s="29" t="s">
        <v>151</v>
      </c>
      <c r="FS13" s="29" t="s">
        <v>159</v>
      </c>
      <c r="FT13" s="90">
        <v>1.2922</v>
      </c>
      <c r="FU13" s="2">
        <v>0.65769999999999995</v>
      </c>
      <c r="FV13" s="2">
        <f t="shared" si="11"/>
        <v>51.688000000000002</v>
      </c>
      <c r="FW13" s="2">
        <f t="shared" si="11"/>
        <v>26.308</v>
      </c>
      <c r="FX13" s="487"/>
      <c r="FY13" s="487"/>
      <c r="FZ13" s="487"/>
      <c r="GA13" s="487"/>
      <c r="GB13" s="487"/>
      <c r="GC13" s="487"/>
    </row>
    <row r="14" spans="1:185">
      <c r="A14" s="74" t="s">
        <v>135</v>
      </c>
      <c r="B14" s="74">
        <v>29.5776</v>
      </c>
      <c r="C14" s="74">
        <v>14.911199999999999</v>
      </c>
      <c r="D14" s="532"/>
      <c r="E14" s="532"/>
      <c r="F14" s="532"/>
      <c r="G14" s="535"/>
      <c r="H14" s="538"/>
      <c r="I14" s="538"/>
      <c r="J14" s="75" t="s">
        <v>136</v>
      </c>
      <c r="K14" s="75" t="s">
        <v>160</v>
      </c>
      <c r="L14" s="76">
        <v>0.46800000000000003</v>
      </c>
      <c r="M14" s="76">
        <v>0.1404</v>
      </c>
      <c r="N14" s="530"/>
      <c r="O14" s="530"/>
      <c r="P14" s="530"/>
      <c r="Q14" s="530"/>
      <c r="R14" s="530"/>
      <c r="S14" s="530"/>
      <c r="T14" s="77" t="s">
        <v>138</v>
      </c>
      <c r="U14" s="77" t="s">
        <v>160</v>
      </c>
      <c r="V14" s="77">
        <v>0.7792</v>
      </c>
      <c r="W14" s="77">
        <v>6.5199999999999994E-2</v>
      </c>
      <c r="X14" s="77">
        <f t="shared" si="0"/>
        <v>38.96</v>
      </c>
      <c r="Y14" s="77">
        <f t="shared" si="0"/>
        <v>3.26</v>
      </c>
      <c r="Z14" s="528"/>
      <c r="AA14" s="528"/>
      <c r="AB14" s="528"/>
      <c r="AC14" s="528"/>
      <c r="AD14" s="528"/>
      <c r="AE14" s="528"/>
      <c r="AF14" s="78" t="s">
        <v>139</v>
      </c>
      <c r="AG14" s="78" t="s">
        <v>160</v>
      </c>
      <c r="AH14" s="93">
        <v>1.6957</v>
      </c>
      <c r="AI14" s="93">
        <v>1.4787999999999999</v>
      </c>
      <c r="AJ14" s="72">
        <f t="shared" si="1"/>
        <v>84.784999999999997</v>
      </c>
      <c r="AK14" s="72">
        <f t="shared" si="1"/>
        <v>73.94</v>
      </c>
      <c r="AL14" s="526"/>
      <c r="AM14" s="526"/>
      <c r="AN14" s="526"/>
      <c r="AO14" s="526"/>
      <c r="AP14" s="526"/>
      <c r="AQ14" s="526"/>
      <c r="AR14" s="79" t="s">
        <v>140</v>
      </c>
      <c r="AS14" s="79" t="s">
        <v>160</v>
      </c>
      <c r="AT14" s="91">
        <v>0.70630000000000004</v>
      </c>
      <c r="AU14" s="91">
        <v>0.44080000000000003</v>
      </c>
      <c r="AV14" s="80">
        <f t="shared" si="2"/>
        <v>105.94500000000001</v>
      </c>
      <c r="AW14" s="80">
        <f t="shared" si="2"/>
        <v>66.12</v>
      </c>
      <c r="AX14" s="524"/>
      <c r="AY14" s="524"/>
      <c r="AZ14" s="524"/>
      <c r="BA14" s="524"/>
      <c r="BB14" s="524"/>
      <c r="BC14" s="524"/>
      <c r="BD14" s="81" t="s">
        <v>141</v>
      </c>
      <c r="BE14" s="81" t="s">
        <v>160</v>
      </c>
      <c r="BF14" s="81">
        <v>0.9274</v>
      </c>
      <c r="BG14" s="81">
        <v>0.67059999999999997</v>
      </c>
      <c r="BH14" s="59">
        <f t="shared" si="3"/>
        <v>92.74</v>
      </c>
      <c r="BI14" s="59">
        <f t="shared" si="3"/>
        <v>67.06</v>
      </c>
      <c r="BJ14" s="502"/>
      <c r="BK14" s="502"/>
      <c r="BL14" s="502"/>
      <c r="BM14" s="502"/>
      <c r="BN14" s="502"/>
      <c r="BO14" s="502"/>
      <c r="BP14" s="83" t="s">
        <v>142</v>
      </c>
      <c r="BQ14" s="83" t="s">
        <v>160</v>
      </c>
      <c r="BR14" s="83">
        <v>5.7000000000000002E-2</v>
      </c>
      <c r="BS14" s="83">
        <v>2.1499999999999998E-2</v>
      </c>
      <c r="BT14" s="61">
        <f t="shared" si="4"/>
        <v>68.400000000000006</v>
      </c>
      <c r="BU14" s="61">
        <f t="shared" si="4"/>
        <v>25.799999999999997</v>
      </c>
      <c r="BV14" s="521"/>
      <c r="BW14" s="521"/>
      <c r="BX14" s="521"/>
      <c r="BY14" s="521"/>
      <c r="BZ14" s="521"/>
      <c r="CA14" s="521"/>
      <c r="CB14" s="39" t="s">
        <v>143</v>
      </c>
      <c r="CC14" s="39" t="s">
        <v>160</v>
      </c>
      <c r="CD14" s="39">
        <v>0.19320000000000001</v>
      </c>
      <c r="CE14" s="39">
        <v>5.8400000000000001E-2</v>
      </c>
      <c r="CF14" s="41">
        <f t="shared" si="5"/>
        <v>463.68</v>
      </c>
      <c r="CG14" s="41">
        <f t="shared" si="5"/>
        <v>140.16</v>
      </c>
      <c r="CH14" s="518"/>
      <c r="CI14" s="518"/>
      <c r="CJ14" s="518"/>
      <c r="CK14" s="518"/>
      <c r="CL14" s="518"/>
      <c r="CM14" s="518"/>
      <c r="CN14" s="84" t="s">
        <v>144</v>
      </c>
      <c r="CO14" s="84" t="s">
        <v>160</v>
      </c>
      <c r="CP14" s="84">
        <v>0.29870000000000002</v>
      </c>
      <c r="CQ14" s="84">
        <v>0.17100000000000001</v>
      </c>
      <c r="CR14" s="64">
        <f t="shared" si="6"/>
        <v>358.44</v>
      </c>
      <c r="CS14" s="64">
        <f t="shared" si="6"/>
        <v>205.20000000000002</v>
      </c>
      <c r="CT14" s="515"/>
      <c r="CU14" s="515"/>
      <c r="CV14" s="515"/>
      <c r="CW14" s="515"/>
      <c r="CX14" s="515"/>
      <c r="CY14" s="515"/>
      <c r="CZ14" s="85" t="s">
        <v>145</v>
      </c>
      <c r="DA14" s="85" t="s">
        <v>160</v>
      </c>
      <c r="DB14" s="85">
        <v>8.2000000000000007E-3</v>
      </c>
      <c r="DC14" s="85">
        <v>3.3E-3</v>
      </c>
      <c r="DD14" s="66">
        <f t="shared" si="7"/>
        <v>0.24600000000000002</v>
      </c>
      <c r="DE14" s="66">
        <f t="shared" si="7"/>
        <v>9.9000000000000005E-2</v>
      </c>
      <c r="DF14" s="505"/>
      <c r="DG14" s="505"/>
      <c r="DH14" s="505"/>
      <c r="DI14" s="505"/>
      <c r="DJ14" s="505"/>
      <c r="DK14" s="505"/>
      <c r="DL14" s="81" t="s">
        <v>146</v>
      </c>
      <c r="DM14" s="81" t="s">
        <v>160</v>
      </c>
      <c r="DN14" s="82">
        <v>1.766</v>
      </c>
      <c r="DO14" s="82">
        <v>0.60340000000000005</v>
      </c>
      <c r="DP14" s="81">
        <f t="shared" si="8"/>
        <v>88.3</v>
      </c>
      <c r="DQ14" s="81">
        <f t="shared" si="8"/>
        <v>30.17</v>
      </c>
      <c r="DR14" s="502"/>
      <c r="DS14" s="502"/>
      <c r="DT14" s="502"/>
      <c r="DU14" s="502"/>
      <c r="DV14" s="502"/>
      <c r="DW14" s="502"/>
      <c r="DX14" s="86" t="s">
        <v>147</v>
      </c>
      <c r="DY14" s="86" t="s">
        <v>160</v>
      </c>
      <c r="DZ14" s="86">
        <v>0.95020000000000004</v>
      </c>
      <c r="EA14" s="86">
        <v>0</v>
      </c>
      <c r="EB14" s="86">
        <f t="shared" si="9"/>
        <v>19.004000000000001</v>
      </c>
      <c r="EC14" s="86">
        <f t="shared" si="9"/>
        <v>0</v>
      </c>
      <c r="ED14" s="499"/>
      <c r="EE14" s="499"/>
      <c r="EF14" s="499"/>
      <c r="EG14" s="499"/>
      <c r="EH14" s="499"/>
      <c r="EI14" s="499"/>
      <c r="EJ14" s="87" t="s">
        <v>148</v>
      </c>
      <c r="EK14" s="87" t="s">
        <v>160</v>
      </c>
      <c r="EL14" s="88">
        <v>1.6006</v>
      </c>
      <c r="EM14" s="88">
        <v>0.84719999999999995</v>
      </c>
      <c r="EN14" s="70">
        <f t="shared" si="10"/>
        <v>96.036000000000001</v>
      </c>
      <c r="EO14" s="70">
        <f t="shared" si="10"/>
        <v>50.831999999999994</v>
      </c>
      <c r="EP14" s="511"/>
      <c r="EQ14" s="511"/>
      <c r="ER14" s="511"/>
      <c r="ES14" s="511"/>
      <c r="ET14" s="511"/>
      <c r="EU14" s="511"/>
      <c r="EV14" s="75" t="s">
        <v>149</v>
      </c>
      <c r="EW14" s="75" t="s">
        <v>160</v>
      </c>
      <c r="EX14" s="76">
        <v>7.8192000000000004</v>
      </c>
      <c r="EY14" s="76">
        <v>10.893599999999999</v>
      </c>
      <c r="EZ14" s="508"/>
      <c r="FA14" s="508"/>
      <c r="FB14" s="508"/>
      <c r="FC14" s="508"/>
      <c r="FD14" s="508"/>
      <c r="FE14" s="508"/>
      <c r="FF14" s="72" t="s">
        <v>150</v>
      </c>
      <c r="FG14" s="78" t="s">
        <v>160</v>
      </c>
      <c r="FH14" s="72">
        <v>0.94720000000000004</v>
      </c>
      <c r="FI14" s="72">
        <v>0.72489999999999999</v>
      </c>
      <c r="FJ14" s="72">
        <f t="shared" si="12"/>
        <v>94.72</v>
      </c>
      <c r="FK14" s="72">
        <f t="shared" si="12"/>
        <v>72.489999999999995</v>
      </c>
      <c r="FL14" s="513"/>
      <c r="FM14" s="513"/>
      <c r="FN14" s="513"/>
      <c r="FO14" s="513"/>
      <c r="FP14" s="513"/>
      <c r="FQ14" s="513"/>
      <c r="FR14" s="29" t="s">
        <v>151</v>
      </c>
      <c r="FS14" s="29" t="s">
        <v>160</v>
      </c>
      <c r="FT14" s="90">
        <v>1.6820999999999999</v>
      </c>
      <c r="FU14" s="2">
        <v>0.73029999999999995</v>
      </c>
      <c r="FV14" s="2">
        <f t="shared" si="11"/>
        <v>67.283999999999992</v>
      </c>
      <c r="FW14" s="2">
        <f t="shared" si="11"/>
        <v>29.211999999999996</v>
      </c>
      <c r="FX14" s="487"/>
      <c r="FY14" s="487"/>
      <c r="FZ14" s="487"/>
      <c r="GA14" s="487"/>
      <c r="GB14" s="487"/>
      <c r="GC14" s="487"/>
    </row>
    <row r="15" spans="1:185">
      <c r="A15" s="74" t="s">
        <v>135</v>
      </c>
      <c r="B15" s="74">
        <v>30.797999999999998</v>
      </c>
      <c r="C15" s="74">
        <v>14.6412</v>
      </c>
      <c r="D15" s="532"/>
      <c r="E15" s="532"/>
      <c r="F15" s="532"/>
      <c r="G15" s="535"/>
      <c r="H15" s="538"/>
      <c r="I15" s="538"/>
      <c r="J15" s="75" t="s">
        <v>136</v>
      </c>
      <c r="K15" s="75" t="s">
        <v>161</v>
      </c>
      <c r="L15" s="76">
        <v>0.432</v>
      </c>
      <c r="M15" s="76">
        <v>0.3276</v>
      </c>
      <c r="N15" s="530"/>
      <c r="O15" s="530"/>
      <c r="P15" s="530"/>
      <c r="Q15" s="530"/>
      <c r="R15" s="530"/>
      <c r="S15" s="530"/>
      <c r="T15" s="77" t="s">
        <v>138</v>
      </c>
      <c r="U15" s="77" t="s">
        <v>161</v>
      </c>
      <c r="V15" s="77">
        <v>0.76580000000000004</v>
      </c>
      <c r="W15" s="77">
        <v>3.15E-2</v>
      </c>
      <c r="X15" s="77">
        <f t="shared" si="0"/>
        <v>38.29</v>
      </c>
      <c r="Y15" s="77">
        <f t="shared" si="0"/>
        <v>1.575</v>
      </c>
      <c r="Z15" s="528"/>
      <c r="AA15" s="528"/>
      <c r="AB15" s="528"/>
      <c r="AC15" s="528"/>
      <c r="AD15" s="528"/>
      <c r="AE15" s="528"/>
      <c r="AF15" s="78" t="s">
        <v>139</v>
      </c>
      <c r="AG15" s="78" t="s">
        <v>161</v>
      </c>
      <c r="AH15" s="93">
        <v>1.6277999999999999</v>
      </c>
      <c r="AI15" s="93">
        <v>1.4346000000000001</v>
      </c>
      <c r="AJ15" s="72">
        <f t="shared" si="1"/>
        <v>81.39</v>
      </c>
      <c r="AK15" s="72">
        <f t="shared" si="1"/>
        <v>71.73</v>
      </c>
      <c r="AL15" s="526"/>
      <c r="AM15" s="526"/>
      <c r="AN15" s="526"/>
      <c r="AO15" s="526"/>
      <c r="AP15" s="526"/>
      <c r="AQ15" s="526"/>
      <c r="AR15" s="79" t="s">
        <v>140</v>
      </c>
      <c r="AS15" s="79" t="s">
        <v>161</v>
      </c>
      <c r="AT15" s="91">
        <v>0.86860000000000004</v>
      </c>
      <c r="AU15" s="91">
        <v>0.50290000000000001</v>
      </c>
      <c r="AV15" s="80">
        <f t="shared" si="2"/>
        <v>130.29</v>
      </c>
      <c r="AW15" s="80">
        <f t="shared" si="2"/>
        <v>75.435000000000002</v>
      </c>
      <c r="AX15" s="524"/>
      <c r="AY15" s="524"/>
      <c r="AZ15" s="524"/>
      <c r="BA15" s="524"/>
      <c r="BB15" s="524"/>
      <c r="BC15" s="524"/>
      <c r="BD15" s="81" t="s">
        <v>141</v>
      </c>
      <c r="BE15" s="81" t="s">
        <v>161</v>
      </c>
      <c r="BF15" s="82">
        <v>0.93630000000000002</v>
      </c>
      <c r="BG15" s="82">
        <v>0.66739999999999999</v>
      </c>
      <c r="BH15" s="59">
        <f t="shared" si="3"/>
        <v>93.63</v>
      </c>
      <c r="BI15" s="59">
        <f t="shared" si="3"/>
        <v>66.739999999999995</v>
      </c>
      <c r="BJ15" s="502"/>
      <c r="BK15" s="502"/>
      <c r="BL15" s="502"/>
      <c r="BM15" s="502"/>
      <c r="BN15" s="502"/>
      <c r="BO15" s="502"/>
      <c r="BP15" s="83" t="s">
        <v>142</v>
      </c>
      <c r="BQ15" s="83" t="s">
        <v>161</v>
      </c>
      <c r="BR15" s="83">
        <v>4.2999999999999997E-2</v>
      </c>
      <c r="BS15" s="83">
        <v>9.9000000000000008E-3</v>
      </c>
      <c r="BT15" s="61">
        <f t="shared" si="4"/>
        <v>51.599999999999994</v>
      </c>
      <c r="BU15" s="61">
        <f t="shared" si="4"/>
        <v>11.88</v>
      </c>
      <c r="BV15" s="521"/>
      <c r="BW15" s="521"/>
      <c r="BX15" s="521"/>
      <c r="BY15" s="521"/>
      <c r="BZ15" s="521"/>
      <c r="CA15" s="521"/>
      <c r="CB15" s="39" t="s">
        <v>143</v>
      </c>
      <c r="CC15" s="39" t="s">
        <v>161</v>
      </c>
      <c r="CD15" s="39">
        <v>0.17330000000000001</v>
      </c>
      <c r="CE15" s="39">
        <v>4.9500000000000002E-2</v>
      </c>
      <c r="CF15" s="41">
        <f t="shared" si="5"/>
        <v>415.92</v>
      </c>
      <c r="CG15" s="41">
        <f t="shared" si="5"/>
        <v>118.80000000000001</v>
      </c>
      <c r="CH15" s="518"/>
      <c r="CI15" s="518"/>
      <c r="CJ15" s="518"/>
      <c r="CK15" s="518"/>
      <c r="CL15" s="518"/>
      <c r="CM15" s="518"/>
      <c r="CN15" s="84" t="s">
        <v>144</v>
      </c>
      <c r="CO15" s="84" t="s">
        <v>161</v>
      </c>
      <c r="CP15" s="84">
        <v>0.31530000000000002</v>
      </c>
      <c r="CQ15" s="84">
        <v>0.1736</v>
      </c>
      <c r="CR15" s="64">
        <f t="shared" si="6"/>
        <v>378.36</v>
      </c>
      <c r="CS15" s="64">
        <f t="shared" si="6"/>
        <v>208.32</v>
      </c>
      <c r="CT15" s="515"/>
      <c r="CU15" s="515"/>
      <c r="CV15" s="515"/>
      <c r="CW15" s="515"/>
      <c r="CX15" s="515"/>
      <c r="CY15" s="515"/>
      <c r="CZ15" s="85" t="s">
        <v>145</v>
      </c>
      <c r="DA15" s="85" t="s">
        <v>161</v>
      </c>
      <c r="DB15" s="85">
        <v>6.7999999999999996E-3</v>
      </c>
      <c r="DC15" s="85">
        <v>2.3E-3</v>
      </c>
      <c r="DD15" s="66">
        <f t="shared" si="7"/>
        <v>0.20399999999999999</v>
      </c>
      <c r="DE15" s="66">
        <f t="shared" si="7"/>
        <v>6.9000000000000006E-2</v>
      </c>
      <c r="DF15" s="505"/>
      <c r="DG15" s="505"/>
      <c r="DH15" s="505"/>
      <c r="DI15" s="505"/>
      <c r="DJ15" s="505"/>
      <c r="DK15" s="505"/>
      <c r="DL15" s="81" t="s">
        <v>146</v>
      </c>
      <c r="DM15" s="81" t="s">
        <v>161</v>
      </c>
      <c r="DN15" s="82">
        <v>1.8177000000000001</v>
      </c>
      <c r="DO15" s="82">
        <v>0.7349</v>
      </c>
      <c r="DP15" s="81">
        <f t="shared" si="8"/>
        <v>90.885000000000005</v>
      </c>
      <c r="DQ15" s="81">
        <f t="shared" si="8"/>
        <v>36.744999999999997</v>
      </c>
      <c r="DR15" s="502"/>
      <c r="DS15" s="502"/>
      <c r="DT15" s="502"/>
      <c r="DU15" s="502"/>
      <c r="DV15" s="502"/>
      <c r="DW15" s="502"/>
      <c r="DX15" s="86" t="s">
        <v>147</v>
      </c>
      <c r="DY15" s="86" t="s">
        <v>161</v>
      </c>
      <c r="DZ15" s="86">
        <v>0.93220000000000003</v>
      </c>
      <c r="EA15" s="86">
        <v>0</v>
      </c>
      <c r="EB15" s="86">
        <f t="shared" si="9"/>
        <v>18.644000000000002</v>
      </c>
      <c r="EC15" s="86">
        <f t="shared" si="9"/>
        <v>0</v>
      </c>
      <c r="ED15" s="499"/>
      <c r="EE15" s="499"/>
      <c r="EF15" s="499"/>
      <c r="EG15" s="499"/>
      <c r="EH15" s="499"/>
      <c r="EI15" s="499"/>
      <c r="EJ15" s="87" t="s">
        <v>148</v>
      </c>
      <c r="EK15" s="87" t="s">
        <v>161</v>
      </c>
      <c r="EL15" s="88">
        <v>1.4569000000000001</v>
      </c>
      <c r="EM15" s="88">
        <v>0.94140000000000001</v>
      </c>
      <c r="EN15" s="70">
        <f t="shared" si="10"/>
        <v>87.414000000000001</v>
      </c>
      <c r="EO15" s="70">
        <f t="shared" si="10"/>
        <v>56.484000000000002</v>
      </c>
      <c r="EP15" s="511"/>
      <c r="EQ15" s="511"/>
      <c r="ER15" s="511"/>
      <c r="ES15" s="511"/>
      <c r="ET15" s="511"/>
      <c r="EU15" s="511"/>
      <c r="EV15" s="75" t="s">
        <v>149</v>
      </c>
      <c r="EW15" s="75" t="s">
        <v>161</v>
      </c>
      <c r="EX15" s="76">
        <v>7.9272</v>
      </c>
      <c r="EY15" s="76">
        <v>10.7964</v>
      </c>
      <c r="EZ15" s="508"/>
      <c r="FA15" s="508"/>
      <c r="FB15" s="508"/>
      <c r="FC15" s="508"/>
      <c r="FD15" s="508"/>
      <c r="FE15" s="508"/>
      <c r="FF15" s="72" t="s">
        <v>150</v>
      </c>
      <c r="FG15" s="78" t="s">
        <v>161</v>
      </c>
      <c r="FH15" s="72">
        <v>0.93230000000000002</v>
      </c>
      <c r="FI15" s="72">
        <v>0.76600000000000001</v>
      </c>
      <c r="FJ15" s="72">
        <f t="shared" si="12"/>
        <v>93.23</v>
      </c>
      <c r="FK15" s="72">
        <f t="shared" si="12"/>
        <v>76.599999999999994</v>
      </c>
      <c r="FL15" s="513"/>
      <c r="FM15" s="513"/>
      <c r="FN15" s="513"/>
      <c r="FO15" s="513"/>
      <c r="FP15" s="513"/>
      <c r="FQ15" s="513"/>
      <c r="FR15" s="29" t="s">
        <v>151</v>
      </c>
      <c r="FS15" s="29" t="s">
        <v>161</v>
      </c>
      <c r="FT15" s="90">
        <v>1.6411</v>
      </c>
      <c r="FU15" s="2">
        <v>0.76649999999999996</v>
      </c>
      <c r="FV15" s="2">
        <f t="shared" si="11"/>
        <v>65.644000000000005</v>
      </c>
      <c r="FW15" s="2">
        <f t="shared" si="11"/>
        <v>30.659999999999997</v>
      </c>
      <c r="FX15" s="487"/>
      <c r="FY15" s="487"/>
      <c r="FZ15" s="487"/>
      <c r="GA15" s="487"/>
      <c r="GB15" s="487"/>
      <c r="GC15" s="487"/>
    </row>
    <row r="16" spans="1:185">
      <c r="A16" s="74" t="s">
        <v>135</v>
      </c>
      <c r="B16" s="74">
        <v>32.345999999999997</v>
      </c>
      <c r="C16" s="74">
        <v>15.1488</v>
      </c>
      <c r="D16" s="532"/>
      <c r="E16" s="532"/>
      <c r="F16" s="532"/>
      <c r="G16" s="535"/>
      <c r="H16" s="538"/>
      <c r="I16" s="538"/>
      <c r="J16" s="75" t="s">
        <v>136</v>
      </c>
      <c r="K16" s="75" t="s">
        <v>162</v>
      </c>
      <c r="L16" s="76">
        <v>0.42480000000000001</v>
      </c>
      <c r="M16" s="76">
        <v>0.3276</v>
      </c>
      <c r="N16" s="530"/>
      <c r="O16" s="530"/>
      <c r="P16" s="530"/>
      <c r="Q16" s="530"/>
      <c r="R16" s="530"/>
      <c r="S16" s="530"/>
      <c r="T16" s="77" t="s">
        <v>138</v>
      </c>
      <c r="U16" s="77" t="s">
        <v>162</v>
      </c>
      <c r="V16" s="77">
        <v>0.37390000000000001</v>
      </c>
      <c r="W16" s="77">
        <v>4.3E-3</v>
      </c>
      <c r="X16" s="77">
        <f t="shared" si="0"/>
        <v>18.695</v>
      </c>
      <c r="Y16" s="77">
        <f t="shared" si="0"/>
        <v>0.215</v>
      </c>
      <c r="Z16" s="528"/>
      <c r="AA16" s="528"/>
      <c r="AB16" s="528"/>
      <c r="AC16" s="528"/>
      <c r="AD16" s="528"/>
      <c r="AE16" s="528"/>
      <c r="AF16" s="78" t="s">
        <v>139</v>
      </c>
      <c r="AG16" s="78" t="s">
        <v>162</v>
      </c>
      <c r="AH16" s="93">
        <v>1.653</v>
      </c>
      <c r="AI16" s="93">
        <v>1.4266000000000001</v>
      </c>
      <c r="AJ16" s="72">
        <f t="shared" si="1"/>
        <v>82.65</v>
      </c>
      <c r="AK16" s="72">
        <f t="shared" si="1"/>
        <v>71.33</v>
      </c>
      <c r="AL16" s="526"/>
      <c r="AM16" s="526"/>
      <c r="AN16" s="526"/>
      <c r="AO16" s="526"/>
      <c r="AP16" s="526"/>
      <c r="AQ16" s="526"/>
      <c r="AR16" s="79" t="s">
        <v>140</v>
      </c>
      <c r="AS16" s="79" t="s">
        <v>162</v>
      </c>
      <c r="AT16" s="91">
        <v>0.88600000000000001</v>
      </c>
      <c r="AU16" s="91">
        <v>0.51090000000000002</v>
      </c>
      <c r="AV16" s="80">
        <f t="shared" si="2"/>
        <v>132.9</v>
      </c>
      <c r="AW16" s="80">
        <f t="shared" si="2"/>
        <v>76.635000000000005</v>
      </c>
      <c r="AX16" s="524"/>
      <c r="AY16" s="524"/>
      <c r="AZ16" s="524"/>
      <c r="BA16" s="524"/>
      <c r="BB16" s="524"/>
      <c r="BC16" s="524"/>
      <c r="BD16" s="81" t="s">
        <v>141</v>
      </c>
      <c r="BE16" s="81" t="s">
        <v>162</v>
      </c>
      <c r="BF16" s="82">
        <v>0.93640000000000001</v>
      </c>
      <c r="BG16" s="82">
        <v>0.6603</v>
      </c>
      <c r="BH16" s="59">
        <f t="shared" si="3"/>
        <v>93.64</v>
      </c>
      <c r="BI16" s="59">
        <f t="shared" si="3"/>
        <v>66.03</v>
      </c>
      <c r="BJ16" s="502"/>
      <c r="BK16" s="502"/>
      <c r="BL16" s="502"/>
      <c r="BM16" s="502"/>
      <c r="BN16" s="502"/>
      <c r="BO16" s="502"/>
      <c r="BP16" s="83" t="s">
        <v>142</v>
      </c>
      <c r="BQ16" s="83" t="s">
        <v>162</v>
      </c>
      <c r="BR16" s="83">
        <v>5.8299999999999998E-2</v>
      </c>
      <c r="BS16" s="83">
        <v>2.1399999999999999E-2</v>
      </c>
      <c r="BT16" s="61">
        <f t="shared" si="4"/>
        <v>69.959999999999994</v>
      </c>
      <c r="BU16" s="61">
        <f t="shared" si="4"/>
        <v>25.68</v>
      </c>
      <c r="BV16" s="521"/>
      <c r="BW16" s="521"/>
      <c r="BX16" s="521"/>
      <c r="BY16" s="521"/>
      <c r="BZ16" s="521"/>
      <c r="CA16" s="521"/>
      <c r="CB16" s="39" t="s">
        <v>143</v>
      </c>
      <c r="CC16" s="39" t="s">
        <v>162</v>
      </c>
      <c r="CD16" s="39">
        <v>0.221</v>
      </c>
      <c r="CE16" s="39">
        <v>6.1600000000000002E-2</v>
      </c>
      <c r="CF16" s="41">
        <f t="shared" si="5"/>
        <v>530.4</v>
      </c>
      <c r="CG16" s="41">
        <f t="shared" si="5"/>
        <v>147.84</v>
      </c>
      <c r="CH16" s="518"/>
      <c r="CI16" s="518"/>
      <c r="CJ16" s="518"/>
      <c r="CK16" s="518"/>
      <c r="CL16" s="518"/>
      <c r="CM16" s="518"/>
      <c r="CN16" s="84" t="s">
        <v>144</v>
      </c>
      <c r="CO16" s="84" t="s">
        <v>162</v>
      </c>
      <c r="CP16" s="84">
        <v>0.32519999999999999</v>
      </c>
      <c r="CQ16" s="84">
        <v>0.17549999999999999</v>
      </c>
      <c r="CR16" s="64">
        <f t="shared" si="6"/>
        <v>390.24</v>
      </c>
      <c r="CS16" s="64">
        <f t="shared" si="6"/>
        <v>210.6</v>
      </c>
      <c r="CT16" s="515"/>
      <c r="CU16" s="515"/>
      <c r="CV16" s="515"/>
      <c r="CW16" s="515"/>
      <c r="CX16" s="515"/>
      <c r="CY16" s="515"/>
      <c r="CZ16" s="85" t="s">
        <v>145</v>
      </c>
      <c r="DA16" s="85" t="s">
        <v>162</v>
      </c>
      <c r="DB16" s="85">
        <v>6.8999999999999999E-3</v>
      </c>
      <c r="DC16" s="85">
        <v>2.3E-3</v>
      </c>
      <c r="DD16" s="66">
        <f t="shared" si="7"/>
        <v>0.20699999999999999</v>
      </c>
      <c r="DE16" s="66">
        <f t="shared" si="7"/>
        <v>6.9000000000000006E-2</v>
      </c>
      <c r="DF16" s="505"/>
      <c r="DG16" s="505"/>
      <c r="DH16" s="505"/>
      <c r="DI16" s="505"/>
      <c r="DJ16" s="505"/>
      <c r="DK16" s="505"/>
      <c r="DL16" s="81" t="s">
        <v>146</v>
      </c>
      <c r="DM16" s="81" t="s">
        <v>162</v>
      </c>
      <c r="DN16" s="82">
        <v>1.7910999999999999</v>
      </c>
      <c r="DO16" s="82">
        <v>0.75039999999999996</v>
      </c>
      <c r="DP16" s="81">
        <f t="shared" si="8"/>
        <v>89.554999999999993</v>
      </c>
      <c r="DQ16" s="81">
        <f t="shared" si="8"/>
        <v>37.519999999999996</v>
      </c>
      <c r="DR16" s="502"/>
      <c r="DS16" s="502"/>
      <c r="DT16" s="502"/>
      <c r="DU16" s="502"/>
      <c r="DV16" s="502"/>
      <c r="DW16" s="502"/>
      <c r="DX16" s="86" t="s">
        <v>147</v>
      </c>
      <c r="DY16" s="86" t="s">
        <v>162</v>
      </c>
      <c r="DZ16" s="86">
        <v>0.80920000000000003</v>
      </c>
      <c r="EA16" s="86">
        <v>0</v>
      </c>
      <c r="EB16" s="86">
        <f t="shared" si="9"/>
        <v>16.184000000000001</v>
      </c>
      <c r="EC16" s="86">
        <f t="shared" si="9"/>
        <v>0</v>
      </c>
      <c r="ED16" s="499"/>
      <c r="EE16" s="499"/>
      <c r="EF16" s="499"/>
      <c r="EG16" s="499"/>
      <c r="EH16" s="499"/>
      <c r="EI16" s="499"/>
      <c r="EJ16" s="87" t="s">
        <v>148</v>
      </c>
      <c r="EK16" s="87" t="s">
        <v>162</v>
      </c>
      <c r="EL16" s="88">
        <v>1.9291</v>
      </c>
      <c r="EM16" s="88">
        <v>1.1496999999999999</v>
      </c>
      <c r="EN16" s="70">
        <f t="shared" si="10"/>
        <v>115.74600000000001</v>
      </c>
      <c r="EO16" s="70">
        <f t="shared" si="10"/>
        <v>68.981999999999999</v>
      </c>
      <c r="EP16" s="511"/>
      <c r="EQ16" s="511"/>
      <c r="ER16" s="511"/>
      <c r="ES16" s="511"/>
      <c r="ET16" s="511"/>
      <c r="EU16" s="511"/>
      <c r="EV16" s="75" t="s">
        <v>149</v>
      </c>
      <c r="EW16" s="75" t="s">
        <v>162</v>
      </c>
      <c r="EX16" s="76">
        <v>1.08</v>
      </c>
      <c r="EY16" s="76">
        <v>2.1852</v>
      </c>
      <c r="EZ16" s="508"/>
      <c r="FA16" s="508"/>
      <c r="FB16" s="508"/>
      <c r="FC16" s="508"/>
      <c r="FD16" s="508"/>
      <c r="FE16" s="508"/>
      <c r="FF16" s="72" t="s">
        <v>150</v>
      </c>
      <c r="FG16" s="78" t="s">
        <v>162</v>
      </c>
      <c r="FH16" s="89">
        <v>1.0366</v>
      </c>
      <c r="FI16" s="72">
        <v>0.7974</v>
      </c>
      <c r="FJ16" s="72">
        <f t="shared" si="12"/>
        <v>103.66</v>
      </c>
      <c r="FK16" s="72">
        <f t="shared" si="12"/>
        <v>79.739999999999995</v>
      </c>
      <c r="FL16" s="513"/>
      <c r="FM16" s="513"/>
      <c r="FN16" s="513"/>
      <c r="FO16" s="513"/>
      <c r="FP16" s="513"/>
      <c r="FQ16" s="513"/>
      <c r="FR16" s="29" t="s">
        <v>151</v>
      </c>
      <c r="FS16" s="29" t="s">
        <v>162</v>
      </c>
      <c r="FT16" s="90">
        <v>1.5891</v>
      </c>
      <c r="FU16" s="2">
        <v>0.73229999999999995</v>
      </c>
      <c r="FV16" s="2">
        <f t="shared" si="11"/>
        <v>63.564</v>
      </c>
      <c r="FW16" s="2">
        <f t="shared" si="11"/>
        <v>29.291999999999998</v>
      </c>
      <c r="FX16" s="487"/>
      <c r="FY16" s="487"/>
      <c r="FZ16" s="487"/>
      <c r="GA16" s="487"/>
      <c r="GB16" s="487"/>
      <c r="GC16" s="487"/>
    </row>
    <row r="17" spans="1:185">
      <c r="A17" s="74" t="s">
        <v>135</v>
      </c>
      <c r="B17" s="74">
        <v>33.674399999999999</v>
      </c>
      <c r="C17" s="74">
        <v>15.534000000000001</v>
      </c>
      <c r="D17" s="532"/>
      <c r="E17" s="532"/>
      <c r="F17" s="532"/>
      <c r="G17" s="535"/>
      <c r="H17" s="538"/>
      <c r="I17" s="538"/>
      <c r="J17" s="75" t="s">
        <v>136</v>
      </c>
      <c r="K17" s="75" t="s">
        <v>163</v>
      </c>
      <c r="L17" s="76">
        <v>0.42480000000000001</v>
      </c>
      <c r="M17" s="76">
        <v>0.33479999999999999</v>
      </c>
      <c r="N17" s="530"/>
      <c r="O17" s="530"/>
      <c r="P17" s="530"/>
      <c r="Q17" s="530"/>
      <c r="R17" s="530"/>
      <c r="S17" s="530"/>
      <c r="T17" s="77" t="s">
        <v>138</v>
      </c>
      <c r="U17" s="77" t="s">
        <v>163</v>
      </c>
      <c r="V17" s="77">
        <v>0.65769999999999995</v>
      </c>
      <c r="W17" s="77">
        <v>3.0300000000000001E-2</v>
      </c>
      <c r="X17" s="77">
        <f t="shared" si="0"/>
        <v>32.884999999999998</v>
      </c>
      <c r="Y17" s="77">
        <f t="shared" si="0"/>
        <v>1.5150000000000001</v>
      </c>
      <c r="Z17" s="528"/>
      <c r="AA17" s="528"/>
      <c r="AB17" s="528"/>
      <c r="AC17" s="528"/>
      <c r="AD17" s="528"/>
      <c r="AE17" s="528"/>
      <c r="AF17" s="78" t="s">
        <v>139</v>
      </c>
      <c r="AG17" s="78" t="s">
        <v>163</v>
      </c>
      <c r="AH17" s="93">
        <v>1.3334999999999999</v>
      </c>
      <c r="AI17" s="93">
        <v>1.0916999999999999</v>
      </c>
      <c r="AJ17" s="72">
        <f t="shared" si="1"/>
        <v>66.674999999999997</v>
      </c>
      <c r="AK17" s="72">
        <f t="shared" si="1"/>
        <v>54.584999999999994</v>
      </c>
      <c r="AL17" s="526"/>
      <c r="AM17" s="526"/>
      <c r="AN17" s="526"/>
      <c r="AO17" s="526"/>
      <c r="AP17" s="526"/>
      <c r="AQ17" s="526"/>
      <c r="AR17" s="79" t="s">
        <v>140</v>
      </c>
      <c r="AS17" s="79" t="s">
        <v>163</v>
      </c>
      <c r="AT17" s="91">
        <v>0.72860000000000003</v>
      </c>
      <c r="AU17" s="91">
        <v>0.41260000000000002</v>
      </c>
      <c r="AV17" s="80">
        <f t="shared" si="2"/>
        <v>109.29</v>
      </c>
      <c r="AW17" s="80">
        <f t="shared" si="2"/>
        <v>61.89</v>
      </c>
      <c r="AX17" s="524"/>
      <c r="AY17" s="524"/>
      <c r="AZ17" s="524"/>
      <c r="BA17" s="524"/>
      <c r="BB17" s="524"/>
      <c r="BC17" s="524"/>
      <c r="BD17" s="81" t="s">
        <v>141</v>
      </c>
      <c r="BE17" s="81" t="s">
        <v>163</v>
      </c>
      <c r="BF17" s="82">
        <v>0.94079999999999997</v>
      </c>
      <c r="BG17" s="82">
        <v>0.6663</v>
      </c>
      <c r="BH17" s="59">
        <f t="shared" si="3"/>
        <v>94.08</v>
      </c>
      <c r="BI17" s="59">
        <f t="shared" si="3"/>
        <v>66.63</v>
      </c>
      <c r="BJ17" s="502"/>
      <c r="BK17" s="502"/>
      <c r="BL17" s="502"/>
      <c r="BM17" s="502"/>
      <c r="BN17" s="502"/>
      <c r="BO17" s="502"/>
      <c r="BP17" s="83" t="s">
        <v>142</v>
      </c>
      <c r="BQ17" s="83" t="s">
        <v>163</v>
      </c>
      <c r="BR17" s="83">
        <v>7.1800000000000003E-2</v>
      </c>
      <c r="BS17" s="83">
        <v>1.6E-2</v>
      </c>
      <c r="BT17" s="61">
        <f t="shared" si="4"/>
        <v>86.16</v>
      </c>
      <c r="BU17" s="61">
        <f t="shared" si="4"/>
        <v>19.2</v>
      </c>
      <c r="BV17" s="521"/>
      <c r="BW17" s="521"/>
      <c r="BX17" s="521"/>
      <c r="BY17" s="521"/>
      <c r="BZ17" s="521"/>
      <c r="CA17" s="521"/>
      <c r="CB17" s="39" t="s">
        <v>143</v>
      </c>
      <c r="CC17" s="39" t="s">
        <v>163</v>
      </c>
      <c r="CD17" s="39">
        <v>0.2306</v>
      </c>
      <c r="CE17" s="39">
        <v>6.3399999999999998E-2</v>
      </c>
      <c r="CF17" s="41">
        <f t="shared" si="5"/>
        <v>553.44000000000005</v>
      </c>
      <c r="CG17" s="41">
        <f t="shared" si="5"/>
        <v>152.16</v>
      </c>
      <c r="CH17" s="518"/>
      <c r="CI17" s="518"/>
      <c r="CJ17" s="518"/>
      <c r="CK17" s="518"/>
      <c r="CL17" s="518"/>
      <c r="CM17" s="518"/>
      <c r="CN17" s="84" t="s">
        <v>144</v>
      </c>
      <c r="CO17" s="84" t="s">
        <v>163</v>
      </c>
      <c r="CP17" s="84">
        <v>0.30220000000000002</v>
      </c>
      <c r="CQ17" s="84">
        <v>0.16550000000000001</v>
      </c>
      <c r="CR17" s="64">
        <f t="shared" si="6"/>
        <v>362.64000000000004</v>
      </c>
      <c r="CS17" s="64">
        <f t="shared" si="6"/>
        <v>198.60000000000002</v>
      </c>
      <c r="CT17" s="515"/>
      <c r="CU17" s="515"/>
      <c r="CV17" s="515"/>
      <c r="CW17" s="515"/>
      <c r="CX17" s="515"/>
      <c r="CY17" s="515"/>
      <c r="CZ17" s="85" t="s">
        <v>145</v>
      </c>
      <c r="DA17" s="85" t="s">
        <v>163</v>
      </c>
      <c r="DB17" s="85">
        <v>6.8999999999999999E-3</v>
      </c>
      <c r="DC17" s="85">
        <v>2.3999999999999998E-3</v>
      </c>
      <c r="DD17" s="66">
        <f t="shared" si="7"/>
        <v>0.20699999999999999</v>
      </c>
      <c r="DE17" s="66">
        <f t="shared" si="7"/>
        <v>7.1999999999999995E-2</v>
      </c>
      <c r="DF17" s="505"/>
      <c r="DG17" s="505"/>
      <c r="DH17" s="505"/>
      <c r="DI17" s="505"/>
      <c r="DJ17" s="505"/>
      <c r="DK17" s="505"/>
      <c r="DL17" s="81" t="s">
        <v>146</v>
      </c>
      <c r="DM17" s="81" t="s">
        <v>163</v>
      </c>
      <c r="DN17" s="82">
        <v>1.7884</v>
      </c>
      <c r="DO17" s="82">
        <v>0.86980000000000002</v>
      </c>
      <c r="DP17" s="81">
        <f t="shared" si="8"/>
        <v>89.42</v>
      </c>
      <c r="DQ17" s="81">
        <f t="shared" si="8"/>
        <v>43.49</v>
      </c>
      <c r="DR17" s="502"/>
      <c r="DS17" s="502"/>
      <c r="DT17" s="502"/>
      <c r="DU17" s="502"/>
      <c r="DV17" s="502"/>
      <c r="DW17" s="502"/>
      <c r="DX17" s="86" t="s">
        <v>147</v>
      </c>
      <c r="DY17" s="86" t="s">
        <v>163</v>
      </c>
      <c r="DZ17" s="86">
        <v>0.78910000000000002</v>
      </c>
      <c r="EA17" s="86">
        <v>0</v>
      </c>
      <c r="EB17" s="86">
        <f t="shared" si="9"/>
        <v>15.782</v>
      </c>
      <c r="EC17" s="86">
        <f t="shared" si="9"/>
        <v>0</v>
      </c>
      <c r="ED17" s="499"/>
      <c r="EE17" s="499"/>
      <c r="EF17" s="499"/>
      <c r="EG17" s="499"/>
      <c r="EH17" s="499"/>
      <c r="EI17" s="499"/>
      <c r="EJ17" s="87" t="s">
        <v>148</v>
      </c>
      <c r="EK17" s="87" t="s">
        <v>163</v>
      </c>
      <c r="EL17" s="88">
        <v>1.8017000000000001</v>
      </c>
      <c r="EM17" s="88">
        <v>0.96140000000000003</v>
      </c>
      <c r="EN17" s="70">
        <f t="shared" si="10"/>
        <v>108.102</v>
      </c>
      <c r="EO17" s="70">
        <f t="shared" si="10"/>
        <v>57.684000000000005</v>
      </c>
      <c r="EP17" s="511"/>
      <c r="EQ17" s="511"/>
      <c r="ER17" s="511"/>
      <c r="ES17" s="511"/>
      <c r="ET17" s="511"/>
      <c r="EU17" s="511"/>
      <c r="EV17" s="75" t="s">
        <v>149</v>
      </c>
      <c r="EW17" s="75" t="s">
        <v>163</v>
      </c>
      <c r="EX17" s="76">
        <v>0.65159999999999996</v>
      </c>
      <c r="EY17" s="76">
        <v>1.2168000000000001</v>
      </c>
      <c r="EZ17" s="508"/>
      <c r="FA17" s="508"/>
      <c r="FB17" s="508"/>
      <c r="FC17" s="508"/>
      <c r="FD17" s="508"/>
      <c r="FE17" s="508"/>
      <c r="FF17" s="72" t="s">
        <v>150</v>
      </c>
      <c r="FG17" s="78" t="s">
        <v>163</v>
      </c>
      <c r="FH17" s="72">
        <v>0.86070000000000002</v>
      </c>
      <c r="FI17" s="72">
        <v>0.70909999999999995</v>
      </c>
      <c r="FJ17" s="72">
        <f t="shared" si="12"/>
        <v>86.070000000000007</v>
      </c>
      <c r="FK17" s="72">
        <f t="shared" si="12"/>
        <v>70.91</v>
      </c>
      <c r="FL17" s="513"/>
      <c r="FM17" s="513"/>
      <c r="FN17" s="513"/>
      <c r="FO17" s="513"/>
      <c r="FP17" s="513"/>
      <c r="FQ17" s="513"/>
      <c r="FR17" s="29" t="s">
        <v>151</v>
      </c>
      <c r="FS17" s="29" t="s">
        <v>163</v>
      </c>
      <c r="FT17" s="90">
        <v>1.5858000000000001</v>
      </c>
      <c r="FU17" s="2">
        <v>0.7651</v>
      </c>
      <c r="FV17" s="2">
        <f t="shared" si="11"/>
        <v>63.432000000000002</v>
      </c>
      <c r="FW17" s="2">
        <f t="shared" si="11"/>
        <v>30.603999999999999</v>
      </c>
      <c r="FX17" s="487"/>
      <c r="FY17" s="487"/>
      <c r="FZ17" s="487"/>
      <c r="GA17" s="487"/>
      <c r="GB17" s="487"/>
      <c r="GC17" s="487"/>
    </row>
    <row r="18" spans="1:185">
      <c r="A18" s="74" t="s">
        <v>135</v>
      </c>
      <c r="B18" s="74">
        <v>30.744</v>
      </c>
      <c r="C18" s="74">
        <v>14.238</v>
      </c>
      <c r="D18" s="532"/>
      <c r="E18" s="532"/>
      <c r="F18" s="532"/>
      <c r="G18" s="535"/>
      <c r="H18" s="538"/>
      <c r="I18" s="538"/>
      <c r="J18" s="75" t="s">
        <v>136</v>
      </c>
      <c r="K18" s="75" t="s">
        <v>164</v>
      </c>
      <c r="L18" s="76">
        <v>0.378</v>
      </c>
      <c r="M18" s="76">
        <v>0.33839999999999998</v>
      </c>
      <c r="N18" s="530"/>
      <c r="O18" s="530"/>
      <c r="P18" s="530"/>
      <c r="Q18" s="530"/>
      <c r="R18" s="530"/>
      <c r="S18" s="530"/>
      <c r="T18" s="77" t="s">
        <v>138</v>
      </c>
      <c r="U18" s="77" t="s">
        <v>164</v>
      </c>
      <c r="V18" s="77">
        <v>0.74639999999999995</v>
      </c>
      <c r="W18" s="77">
        <v>0</v>
      </c>
      <c r="X18" s="77">
        <f t="shared" si="0"/>
        <v>37.32</v>
      </c>
      <c r="Y18" s="77">
        <f t="shared" si="0"/>
        <v>0</v>
      </c>
      <c r="Z18" s="528"/>
      <c r="AA18" s="528"/>
      <c r="AB18" s="528"/>
      <c r="AC18" s="528"/>
      <c r="AD18" s="528"/>
      <c r="AE18" s="528"/>
      <c r="AF18" s="78" t="s">
        <v>139</v>
      </c>
      <c r="AG18" s="78" t="s">
        <v>164</v>
      </c>
      <c r="AH18" s="93">
        <v>1.77E-2</v>
      </c>
      <c r="AI18" s="93">
        <v>4.1000000000000003E-3</v>
      </c>
      <c r="AJ18" s="72">
        <f t="shared" si="1"/>
        <v>0.88500000000000001</v>
      </c>
      <c r="AK18" s="72">
        <f t="shared" si="1"/>
        <v>0.20500000000000002</v>
      </c>
      <c r="AL18" s="526"/>
      <c r="AM18" s="526"/>
      <c r="AN18" s="526"/>
      <c r="AO18" s="526"/>
      <c r="AP18" s="526"/>
      <c r="AQ18" s="526"/>
      <c r="AR18" s="79" t="s">
        <v>140</v>
      </c>
      <c r="AS18" s="79" t="s">
        <v>164</v>
      </c>
      <c r="AT18" s="91">
        <v>0.99119999999999997</v>
      </c>
      <c r="AU18" s="91">
        <v>0.56850000000000001</v>
      </c>
      <c r="AV18" s="80">
        <f t="shared" si="2"/>
        <v>148.68</v>
      </c>
      <c r="AW18" s="80">
        <f t="shared" si="2"/>
        <v>85.275000000000006</v>
      </c>
      <c r="AX18" s="524"/>
      <c r="AY18" s="524"/>
      <c r="AZ18" s="524"/>
      <c r="BA18" s="524"/>
      <c r="BB18" s="524"/>
      <c r="BC18" s="524"/>
      <c r="BD18" s="81" t="s">
        <v>141</v>
      </c>
      <c r="BE18" s="81" t="s">
        <v>164</v>
      </c>
      <c r="BF18" s="82">
        <v>0.93420000000000003</v>
      </c>
      <c r="BG18" s="82">
        <v>0.6613</v>
      </c>
      <c r="BH18" s="59">
        <f t="shared" si="3"/>
        <v>93.42</v>
      </c>
      <c r="BI18" s="59">
        <f t="shared" si="3"/>
        <v>66.13</v>
      </c>
      <c r="BJ18" s="502"/>
      <c r="BK18" s="502"/>
      <c r="BL18" s="502"/>
      <c r="BM18" s="502"/>
      <c r="BN18" s="502"/>
      <c r="BO18" s="502"/>
      <c r="BP18" s="83" t="s">
        <v>142</v>
      </c>
      <c r="BQ18" s="83" t="s">
        <v>164</v>
      </c>
      <c r="BR18" s="83">
        <v>6.3500000000000001E-2</v>
      </c>
      <c r="BS18" s="83">
        <v>1.72E-2</v>
      </c>
      <c r="BT18" s="61">
        <f t="shared" si="4"/>
        <v>76.2</v>
      </c>
      <c r="BU18" s="61">
        <f t="shared" si="4"/>
        <v>20.64</v>
      </c>
      <c r="BV18" s="521"/>
      <c r="BW18" s="521"/>
      <c r="BX18" s="521"/>
      <c r="BY18" s="521"/>
      <c r="BZ18" s="521"/>
      <c r="CA18" s="521"/>
      <c r="CB18" s="39" t="s">
        <v>143</v>
      </c>
      <c r="CC18" s="39" t="s">
        <v>164</v>
      </c>
      <c r="CD18" s="39">
        <v>0.2155</v>
      </c>
      <c r="CE18" s="39">
        <v>6.0299999999999999E-2</v>
      </c>
      <c r="CF18" s="41">
        <f t="shared" si="5"/>
        <v>517.20000000000005</v>
      </c>
      <c r="CG18" s="41">
        <f t="shared" si="5"/>
        <v>144.72</v>
      </c>
      <c r="CH18" s="518"/>
      <c r="CI18" s="518"/>
      <c r="CJ18" s="518"/>
      <c r="CK18" s="518"/>
      <c r="CL18" s="518"/>
      <c r="CM18" s="518"/>
      <c r="CN18" s="84" t="s">
        <v>144</v>
      </c>
      <c r="CO18" s="84" t="s">
        <v>164</v>
      </c>
      <c r="CP18" s="84">
        <v>0.30259999999999998</v>
      </c>
      <c r="CQ18" s="84">
        <v>0.15709999999999999</v>
      </c>
      <c r="CR18" s="64">
        <f t="shared" si="6"/>
        <v>363.12</v>
      </c>
      <c r="CS18" s="64">
        <f t="shared" si="6"/>
        <v>188.51999999999998</v>
      </c>
      <c r="CT18" s="515"/>
      <c r="CU18" s="515"/>
      <c r="CV18" s="515"/>
      <c r="CW18" s="515"/>
      <c r="CX18" s="515"/>
      <c r="CY18" s="515"/>
      <c r="CZ18" s="85" t="s">
        <v>145</v>
      </c>
      <c r="DA18" s="85" t="s">
        <v>164</v>
      </c>
      <c r="DB18" s="85">
        <v>7.3000000000000001E-3</v>
      </c>
      <c r="DC18" s="85">
        <v>2.5999999999999999E-3</v>
      </c>
      <c r="DD18" s="66">
        <f t="shared" si="7"/>
        <v>0.219</v>
      </c>
      <c r="DE18" s="66">
        <f t="shared" si="7"/>
        <v>7.8E-2</v>
      </c>
      <c r="DF18" s="505"/>
      <c r="DG18" s="505"/>
      <c r="DH18" s="505"/>
      <c r="DI18" s="505"/>
      <c r="DJ18" s="505"/>
      <c r="DK18" s="505"/>
      <c r="DL18" s="81" t="s">
        <v>146</v>
      </c>
      <c r="DM18" s="81" t="s">
        <v>164</v>
      </c>
      <c r="DN18" s="82">
        <v>1.9202999999999999</v>
      </c>
      <c r="DO18" s="82">
        <v>0.92889999999999995</v>
      </c>
      <c r="DP18" s="81">
        <f t="shared" si="8"/>
        <v>96.015000000000001</v>
      </c>
      <c r="DQ18" s="81">
        <f t="shared" si="8"/>
        <v>46.445</v>
      </c>
      <c r="DR18" s="502"/>
      <c r="DS18" s="502"/>
      <c r="DT18" s="502"/>
      <c r="DU18" s="502"/>
      <c r="DV18" s="502"/>
      <c r="DW18" s="502"/>
      <c r="DX18" s="86" t="s">
        <v>147</v>
      </c>
      <c r="DY18" s="86" t="s">
        <v>164</v>
      </c>
      <c r="DZ18" s="86">
        <v>0.60940000000000005</v>
      </c>
      <c r="EA18" s="86">
        <v>0</v>
      </c>
      <c r="EB18" s="86">
        <f t="shared" si="9"/>
        <v>12.188000000000001</v>
      </c>
      <c r="EC18" s="86">
        <f t="shared" si="9"/>
        <v>0</v>
      </c>
      <c r="ED18" s="499"/>
      <c r="EE18" s="499"/>
      <c r="EF18" s="499"/>
      <c r="EG18" s="499"/>
      <c r="EH18" s="499"/>
      <c r="EI18" s="499"/>
      <c r="EJ18" s="87" t="s">
        <v>148</v>
      </c>
      <c r="EK18" s="87" t="s">
        <v>164</v>
      </c>
      <c r="EL18" s="88">
        <v>1.8415999999999999</v>
      </c>
      <c r="EM18" s="88">
        <v>1.0642</v>
      </c>
      <c r="EN18" s="70">
        <f t="shared" si="10"/>
        <v>110.496</v>
      </c>
      <c r="EO18" s="70">
        <f t="shared" si="10"/>
        <v>63.852000000000004</v>
      </c>
      <c r="EP18" s="511"/>
      <c r="EQ18" s="511"/>
      <c r="ER18" s="511"/>
      <c r="ES18" s="511"/>
      <c r="ET18" s="511"/>
      <c r="EU18" s="511"/>
      <c r="EV18" s="75" t="s">
        <v>149</v>
      </c>
      <c r="EW18" s="75" t="s">
        <v>164</v>
      </c>
      <c r="EX18" s="76">
        <v>0.91080000000000005</v>
      </c>
      <c r="EY18" s="76">
        <v>1.0800000000000001E-2</v>
      </c>
      <c r="EZ18" s="508"/>
      <c r="FA18" s="508"/>
      <c r="FB18" s="508"/>
      <c r="FC18" s="508"/>
      <c r="FD18" s="508"/>
      <c r="FE18" s="508"/>
      <c r="FF18" s="72" t="s">
        <v>150</v>
      </c>
      <c r="FG18" s="78" t="s">
        <v>164</v>
      </c>
      <c r="FH18" s="72">
        <v>0.9052</v>
      </c>
      <c r="FI18" s="72">
        <v>0.70540000000000003</v>
      </c>
      <c r="FJ18" s="72">
        <f t="shared" si="12"/>
        <v>90.52</v>
      </c>
      <c r="FK18" s="72">
        <f t="shared" si="12"/>
        <v>70.540000000000006</v>
      </c>
      <c r="FL18" s="513"/>
      <c r="FM18" s="513"/>
      <c r="FN18" s="513"/>
      <c r="FO18" s="513"/>
      <c r="FP18" s="513"/>
      <c r="FQ18" s="513"/>
      <c r="FR18" s="29" t="s">
        <v>151</v>
      </c>
      <c r="FS18" s="29" t="s">
        <v>164</v>
      </c>
      <c r="FT18" s="90">
        <v>1.5408999999999999</v>
      </c>
      <c r="FU18" s="2">
        <v>0.71179999999999999</v>
      </c>
      <c r="FV18" s="2">
        <f t="shared" si="11"/>
        <v>61.635999999999996</v>
      </c>
      <c r="FW18" s="2">
        <f t="shared" si="11"/>
        <v>28.472000000000001</v>
      </c>
      <c r="FX18" s="487"/>
      <c r="FY18" s="487"/>
      <c r="FZ18" s="487"/>
      <c r="GA18" s="487"/>
      <c r="GB18" s="487"/>
      <c r="GC18" s="487"/>
    </row>
    <row r="19" spans="1:185">
      <c r="A19" s="74" t="s">
        <v>135</v>
      </c>
      <c r="B19" s="74">
        <v>30.9132</v>
      </c>
      <c r="C19" s="74">
        <v>14.0832</v>
      </c>
      <c r="D19" s="532"/>
      <c r="E19" s="532"/>
      <c r="F19" s="532"/>
      <c r="G19" s="535"/>
      <c r="H19" s="538"/>
      <c r="I19" s="538"/>
      <c r="J19" s="75" t="s">
        <v>136</v>
      </c>
      <c r="K19" s="75" t="s">
        <v>165</v>
      </c>
      <c r="L19" s="76">
        <v>14.1372</v>
      </c>
      <c r="M19" s="76">
        <v>7.1387999999999998</v>
      </c>
      <c r="N19" s="530"/>
      <c r="O19" s="530"/>
      <c r="P19" s="530"/>
      <c r="Q19" s="530"/>
      <c r="R19" s="530"/>
      <c r="S19" s="530"/>
      <c r="T19" s="77" t="s">
        <v>138</v>
      </c>
      <c r="U19" s="77" t="s">
        <v>165</v>
      </c>
      <c r="V19" s="77">
        <v>6.5100000000000005E-2</v>
      </c>
      <c r="W19" s="77">
        <v>0</v>
      </c>
      <c r="X19" s="77">
        <f t="shared" si="0"/>
        <v>3.2550000000000003</v>
      </c>
      <c r="Y19" s="77">
        <f t="shared" si="0"/>
        <v>0</v>
      </c>
      <c r="Z19" s="528"/>
      <c r="AA19" s="528"/>
      <c r="AB19" s="528"/>
      <c r="AC19" s="528"/>
      <c r="AD19" s="528"/>
      <c r="AE19" s="528"/>
      <c r="AF19" s="78" t="s">
        <v>139</v>
      </c>
      <c r="AG19" s="78" t="s">
        <v>165</v>
      </c>
      <c r="AH19" s="93">
        <v>1.7090000000000001</v>
      </c>
      <c r="AI19" s="93">
        <v>1.3983000000000001</v>
      </c>
      <c r="AJ19" s="72">
        <f t="shared" si="1"/>
        <v>85.45</v>
      </c>
      <c r="AK19" s="72">
        <f t="shared" si="1"/>
        <v>69.915000000000006</v>
      </c>
      <c r="AL19" s="526"/>
      <c r="AM19" s="526"/>
      <c r="AN19" s="526"/>
      <c r="AO19" s="526"/>
      <c r="AP19" s="526"/>
      <c r="AQ19" s="526"/>
      <c r="AR19" s="79" t="s">
        <v>140</v>
      </c>
      <c r="AS19" s="79" t="s">
        <v>165</v>
      </c>
      <c r="AT19" s="91">
        <v>1.226</v>
      </c>
      <c r="AU19" s="91">
        <v>0.60260000000000002</v>
      </c>
      <c r="AV19" s="80">
        <f t="shared" si="2"/>
        <v>183.9</v>
      </c>
      <c r="AW19" s="80">
        <f t="shared" si="2"/>
        <v>90.39</v>
      </c>
      <c r="AX19" s="524"/>
      <c r="AY19" s="524"/>
      <c r="AZ19" s="524"/>
      <c r="BA19" s="524"/>
      <c r="BB19" s="524"/>
      <c r="BC19" s="524"/>
      <c r="BD19" s="81" t="s">
        <v>141</v>
      </c>
      <c r="BE19" s="81" t="s">
        <v>165</v>
      </c>
      <c r="BF19" s="82">
        <v>0.91159999999999997</v>
      </c>
      <c r="BG19" s="82">
        <v>0.66069999999999995</v>
      </c>
      <c r="BH19" s="59">
        <f t="shared" si="3"/>
        <v>91.16</v>
      </c>
      <c r="BI19" s="59">
        <f t="shared" si="3"/>
        <v>66.069999999999993</v>
      </c>
      <c r="BJ19" s="502"/>
      <c r="BK19" s="502"/>
      <c r="BL19" s="502"/>
      <c r="BM19" s="502"/>
      <c r="BN19" s="502"/>
      <c r="BO19" s="502"/>
      <c r="BP19" s="83" t="s">
        <v>142</v>
      </c>
      <c r="BQ19" s="83" t="s">
        <v>165</v>
      </c>
      <c r="BR19" s="83">
        <v>5.0599999999999999E-2</v>
      </c>
      <c r="BS19" s="83">
        <v>1.6400000000000001E-2</v>
      </c>
      <c r="BT19" s="61">
        <f t="shared" si="4"/>
        <v>60.72</v>
      </c>
      <c r="BU19" s="61">
        <f t="shared" si="4"/>
        <v>19.680000000000003</v>
      </c>
      <c r="BV19" s="521"/>
      <c r="BW19" s="521"/>
      <c r="BX19" s="521"/>
      <c r="BY19" s="521"/>
      <c r="BZ19" s="521"/>
      <c r="CA19" s="521"/>
      <c r="CB19" s="39" t="s">
        <v>143</v>
      </c>
      <c r="CC19" s="39" t="s">
        <v>165</v>
      </c>
      <c r="CD19" s="39">
        <v>0.19900000000000001</v>
      </c>
      <c r="CE19" s="39">
        <v>5.9799999999999999E-2</v>
      </c>
      <c r="CF19" s="41">
        <f t="shared" si="5"/>
        <v>477.6</v>
      </c>
      <c r="CG19" s="41">
        <f t="shared" si="5"/>
        <v>143.52000000000001</v>
      </c>
      <c r="CH19" s="518"/>
      <c r="CI19" s="518"/>
      <c r="CJ19" s="518"/>
      <c r="CK19" s="518"/>
      <c r="CL19" s="518"/>
      <c r="CM19" s="518"/>
      <c r="CN19" s="84" t="s">
        <v>144</v>
      </c>
      <c r="CO19" s="84" t="s">
        <v>165</v>
      </c>
      <c r="CP19" s="84">
        <v>0.31519999999999998</v>
      </c>
      <c r="CQ19" s="84">
        <v>0.16689999999999999</v>
      </c>
      <c r="CR19" s="64">
        <f t="shared" si="6"/>
        <v>378.23999999999995</v>
      </c>
      <c r="CS19" s="64">
        <f t="shared" si="6"/>
        <v>200.28</v>
      </c>
      <c r="CT19" s="515"/>
      <c r="CU19" s="515"/>
      <c r="CV19" s="515"/>
      <c r="CW19" s="515"/>
      <c r="CX19" s="515"/>
      <c r="CY19" s="515"/>
      <c r="CZ19" s="85" t="s">
        <v>145</v>
      </c>
      <c r="DA19" s="85" t="s">
        <v>165</v>
      </c>
      <c r="DB19" s="85">
        <v>6.8999999999999999E-3</v>
      </c>
      <c r="DC19" s="85">
        <v>2.3E-3</v>
      </c>
      <c r="DD19" s="66">
        <f t="shared" si="7"/>
        <v>0.20699999999999999</v>
      </c>
      <c r="DE19" s="66">
        <f t="shared" si="7"/>
        <v>6.9000000000000006E-2</v>
      </c>
      <c r="DF19" s="505"/>
      <c r="DG19" s="505"/>
      <c r="DH19" s="505"/>
      <c r="DI19" s="505"/>
      <c r="DJ19" s="505"/>
      <c r="DK19" s="505"/>
      <c r="DL19" s="81" t="s">
        <v>146</v>
      </c>
      <c r="DM19" s="81" t="s">
        <v>165</v>
      </c>
      <c r="DN19" s="82">
        <v>1.7899</v>
      </c>
      <c r="DO19" s="82">
        <v>0.68069999999999997</v>
      </c>
      <c r="DP19" s="81">
        <f t="shared" si="8"/>
        <v>89.495000000000005</v>
      </c>
      <c r="DQ19" s="81">
        <f t="shared" si="8"/>
        <v>34.034999999999997</v>
      </c>
      <c r="DR19" s="502"/>
      <c r="DS19" s="502"/>
      <c r="DT19" s="502"/>
      <c r="DU19" s="502"/>
      <c r="DV19" s="502"/>
      <c r="DW19" s="502"/>
      <c r="DX19" s="86" t="s">
        <v>147</v>
      </c>
      <c r="DY19" s="86" t="s">
        <v>165</v>
      </c>
      <c r="DZ19" s="86">
        <v>0.83560000000000001</v>
      </c>
      <c r="EA19" s="86">
        <v>0</v>
      </c>
      <c r="EB19" s="86">
        <f t="shared" si="9"/>
        <v>16.712</v>
      </c>
      <c r="EC19" s="86">
        <f t="shared" si="9"/>
        <v>0</v>
      </c>
      <c r="ED19" s="499"/>
      <c r="EE19" s="499"/>
      <c r="EF19" s="499"/>
      <c r="EG19" s="499"/>
      <c r="EH19" s="499"/>
      <c r="EI19" s="499"/>
      <c r="EJ19" s="87" t="s">
        <v>148</v>
      </c>
      <c r="EK19" s="87" t="s">
        <v>165</v>
      </c>
      <c r="EL19" s="88">
        <v>1.5399</v>
      </c>
      <c r="EM19" s="88">
        <v>0.89580000000000004</v>
      </c>
      <c r="EN19" s="70">
        <f t="shared" si="10"/>
        <v>92.394000000000005</v>
      </c>
      <c r="EO19" s="70">
        <f t="shared" si="10"/>
        <v>53.748000000000005</v>
      </c>
      <c r="EP19" s="511"/>
      <c r="EQ19" s="511"/>
      <c r="ER19" s="511"/>
      <c r="ES19" s="511"/>
      <c r="ET19" s="511"/>
      <c r="EU19" s="511"/>
      <c r="EV19" s="75" t="s">
        <v>149</v>
      </c>
      <c r="EW19" s="75" t="s">
        <v>165</v>
      </c>
      <c r="EX19" s="76">
        <v>7.3620000000000001</v>
      </c>
      <c r="EY19" s="76">
        <v>9.9540000000000006</v>
      </c>
      <c r="EZ19" s="508"/>
      <c r="FA19" s="508"/>
      <c r="FB19" s="508"/>
      <c r="FC19" s="508"/>
      <c r="FD19" s="508"/>
      <c r="FE19" s="508"/>
      <c r="FF19" s="72" t="s">
        <v>150</v>
      </c>
      <c r="FG19" s="78" t="s">
        <v>165</v>
      </c>
      <c r="FH19" s="72">
        <v>0.67359999999999998</v>
      </c>
      <c r="FI19" s="72">
        <v>0.45619999999999999</v>
      </c>
      <c r="FJ19" s="72">
        <f t="shared" si="12"/>
        <v>67.36</v>
      </c>
      <c r="FK19" s="72">
        <f t="shared" si="12"/>
        <v>45.62</v>
      </c>
      <c r="FL19" s="513"/>
      <c r="FM19" s="513"/>
      <c r="FN19" s="513"/>
      <c r="FO19" s="513"/>
      <c r="FP19" s="513"/>
      <c r="FQ19" s="513"/>
      <c r="FR19" s="29" t="s">
        <v>151</v>
      </c>
      <c r="FS19" s="29" t="s">
        <v>165</v>
      </c>
      <c r="FT19" s="90">
        <v>1.1163000000000001</v>
      </c>
      <c r="FU19" s="2">
        <v>0.44779999999999998</v>
      </c>
      <c r="FV19" s="2">
        <f t="shared" si="11"/>
        <v>44.652000000000001</v>
      </c>
      <c r="FW19" s="2">
        <f t="shared" si="11"/>
        <v>17.911999999999999</v>
      </c>
      <c r="FX19" s="487"/>
      <c r="FY19" s="487"/>
      <c r="FZ19" s="487"/>
      <c r="GA19" s="487"/>
      <c r="GB19" s="487"/>
      <c r="GC19" s="487"/>
    </row>
    <row r="20" spans="1:185">
      <c r="A20" s="74" t="s">
        <v>135</v>
      </c>
      <c r="B20" s="74">
        <v>34.376399999999997</v>
      </c>
      <c r="C20" s="74">
        <v>15.0228</v>
      </c>
      <c r="D20" s="532"/>
      <c r="E20" s="532"/>
      <c r="F20" s="532"/>
      <c r="G20" s="535"/>
      <c r="H20" s="538"/>
      <c r="I20" s="538"/>
      <c r="J20" s="75" t="s">
        <v>136</v>
      </c>
      <c r="K20" s="75" t="s">
        <v>166</v>
      </c>
      <c r="L20" s="76">
        <v>0.3528</v>
      </c>
      <c r="M20" s="76">
        <v>0.32400000000000001</v>
      </c>
      <c r="N20" s="530"/>
      <c r="O20" s="530"/>
      <c r="P20" s="530"/>
      <c r="Q20" s="530"/>
      <c r="R20" s="530"/>
      <c r="S20" s="530"/>
      <c r="T20" s="77" t="s">
        <v>138</v>
      </c>
      <c r="U20" s="77" t="s">
        <v>166</v>
      </c>
      <c r="V20" s="77">
        <v>4.99E-2</v>
      </c>
      <c r="W20" s="77">
        <v>0</v>
      </c>
      <c r="X20" s="77">
        <f t="shared" si="0"/>
        <v>2.4950000000000001</v>
      </c>
      <c r="Y20" s="77">
        <f t="shared" si="0"/>
        <v>0</v>
      </c>
      <c r="Z20" s="528"/>
      <c r="AA20" s="528"/>
      <c r="AB20" s="528"/>
      <c r="AC20" s="528"/>
      <c r="AD20" s="528"/>
      <c r="AE20" s="528"/>
      <c r="AF20" s="78" t="s">
        <v>139</v>
      </c>
      <c r="AG20" s="78" t="s">
        <v>166</v>
      </c>
      <c r="AH20" s="93">
        <v>1.726</v>
      </c>
      <c r="AI20" s="93">
        <v>1.4925999999999999</v>
      </c>
      <c r="AJ20" s="72">
        <f t="shared" si="1"/>
        <v>86.3</v>
      </c>
      <c r="AK20" s="72">
        <f t="shared" si="1"/>
        <v>74.63</v>
      </c>
      <c r="AL20" s="526"/>
      <c r="AM20" s="526"/>
      <c r="AN20" s="526"/>
      <c r="AO20" s="526"/>
      <c r="AP20" s="526"/>
      <c r="AQ20" s="526"/>
      <c r="AR20" s="79" t="s">
        <v>140</v>
      </c>
      <c r="AS20" s="79" t="s">
        <v>166</v>
      </c>
      <c r="AT20" s="91">
        <v>1.129</v>
      </c>
      <c r="AU20" s="91">
        <v>0.58320000000000005</v>
      </c>
      <c r="AV20" s="80">
        <f t="shared" si="2"/>
        <v>169.35</v>
      </c>
      <c r="AW20" s="80">
        <f t="shared" si="2"/>
        <v>87.48</v>
      </c>
      <c r="AX20" s="524"/>
      <c r="AY20" s="524"/>
      <c r="AZ20" s="524"/>
      <c r="BA20" s="524"/>
      <c r="BB20" s="524"/>
      <c r="BC20" s="524"/>
      <c r="BD20" s="81" t="s">
        <v>141</v>
      </c>
      <c r="BE20" s="81" t="s">
        <v>166</v>
      </c>
      <c r="BF20" s="82">
        <v>1.1123000000000001</v>
      </c>
      <c r="BG20" s="82">
        <v>0.69789999999999996</v>
      </c>
      <c r="BH20" s="59">
        <f t="shared" si="3"/>
        <v>111.23</v>
      </c>
      <c r="BI20" s="59">
        <f t="shared" si="3"/>
        <v>69.789999999999992</v>
      </c>
      <c r="BJ20" s="502"/>
      <c r="BK20" s="502"/>
      <c r="BL20" s="502"/>
      <c r="BM20" s="502"/>
      <c r="BN20" s="502"/>
      <c r="BO20" s="502"/>
      <c r="BP20" s="83" t="s">
        <v>142</v>
      </c>
      <c r="BQ20" s="83" t="s">
        <v>166</v>
      </c>
      <c r="BR20" s="83">
        <v>4.5499999999999999E-2</v>
      </c>
      <c r="BS20" s="83">
        <v>7.4000000000000003E-3</v>
      </c>
      <c r="BT20" s="61">
        <f t="shared" si="4"/>
        <v>54.6</v>
      </c>
      <c r="BU20" s="61">
        <f t="shared" si="4"/>
        <v>8.8800000000000008</v>
      </c>
      <c r="BV20" s="521"/>
      <c r="BW20" s="521"/>
      <c r="BX20" s="521"/>
      <c r="BY20" s="521"/>
      <c r="BZ20" s="521"/>
      <c r="CA20" s="521"/>
      <c r="CB20" s="39" t="s">
        <v>143</v>
      </c>
      <c r="CC20" s="39" t="s">
        <v>166</v>
      </c>
      <c r="CD20" s="39">
        <v>0.1996</v>
      </c>
      <c r="CE20" s="39">
        <v>5.8900000000000001E-2</v>
      </c>
      <c r="CF20" s="41">
        <f t="shared" si="5"/>
        <v>479.04</v>
      </c>
      <c r="CG20" s="41">
        <f t="shared" si="5"/>
        <v>141.36000000000001</v>
      </c>
      <c r="CH20" s="518"/>
      <c r="CI20" s="518"/>
      <c r="CJ20" s="518"/>
      <c r="CK20" s="518"/>
      <c r="CL20" s="518"/>
      <c r="CM20" s="518"/>
      <c r="CN20" s="84" t="s">
        <v>144</v>
      </c>
      <c r="CO20" s="84" t="s">
        <v>166</v>
      </c>
      <c r="CP20" s="84">
        <v>0.30409999999999998</v>
      </c>
      <c r="CQ20" s="84">
        <v>0.15670000000000001</v>
      </c>
      <c r="CR20" s="64">
        <f t="shared" si="6"/>
        <v>364.91999999999996</v>
      </c>
      <c r="CS20" s="64">
        <f t="shared" si="6"/>
        <v>188.04000000000002</v>
      </c>
      <c r="CT20" s="515"/>
      <c r="CU20" s="515"/>
      <c r="CV20" s="515"/>
      <c r="CW20" s="515"/>
      <c r="CX20" s="515"/>
      <c r="CY20" s="515"/>
      <c r="CZ20" s="85" t="s">
        <v>145</v>
      </c>
      <c r="DA20" s="85" t="s">
        <v>166</v>
      </c>
      <c r="DB20" s="85">
        <v>8.3299999999999999E-2</v>
      </c>
      <c r="DC20" s="85">
        <v>7.0699999999999999E-2</v>
      </c>
      <c r="DD20" s="66">
        <f t="shared" si="7"/>
        <v>2.4990000000000001</v>
      </c>
      <c r="DE20" s="66">
        <f t="shared" si="7"/>
        <v>2.121</v>
      </c>
      <c r="DF20" s="505"/>
      <c r="DG20" s="505"/>
      <c r="DH20" s="505"/>
      <c r="DI20" s="505"/>
      <c r="DJ20" s="505"/>
      <c r="DK20" s="505"/>
      <c r="DL20" s="81" t="s">
        <v>146</v>
      </c>
      <c r="DM20" s="81" t="s">
        <v>166</v>
      </c>
      <c r="DN20" s="82">
        <v>1.4246000000000001</v>
      </c>
      <c r="DO20" s="82">
        <v>0.50490000000000002</v>
      </c>
      <c r="DP20" s="81">
        <f t="shared" si="8"/>
        <v>71.23</v>
      </c>
      <c r="DQ20" s="81">
        <f t="shared" si="8"/>
        <v>25.245000000000001</v>
      </c>
      <c r="DR20" s="502"/>
      <c r="DS20" s="502"/>
      <c r="DT20" s="502"/>
      <c r="DU20" s="502"/>
      <c r="DV20" s="502"/>
      <c r="DW20" s="502"/>
      <c r="DX20" s="86" t="s">
        <v>147</v>
      </c>
      <c r="DY20" s="86" t="s">
        <v>166</v>
      </c>
      <c r="DZ20" s="86">
        <v>0.98380000000000001</v>
      </c>
      <c r="EA20" s="86">
        <v>0</v>
      </c>
      <c r="EB20" s="86">
        <f t="shared" si="9"/>
        <v>19.676000000000002</v>
      </c>
      <c r="EC20" s="86">
        <f t="shared" si="9"/>
        <v>0</v>
      </c>
      <c r="ED20" s="499"/>
      <c r="EE20" s="499"/>
      <c r="EF20" s="499"/>
      <c r="EG20" s="499"/>
      <c r="EH20" s="499"/>
      <c r="EI20" s="499"/>
      <c r="EJ20" s="87" t="s">
        <v>148</v>
      </c>
      <c r="EK20" s="87" t="s">
        <v>166</v>
      </c>
      <c r="EL20" s="88">
        <v>1.8110999999999999</v>
      </c>
      <c r="EM20" s="88">
        <v>1.0197000000000001</v>
      </c>
      <c r="EN20" s="70">
        <f t="shared" si="10"/>
        <v>108.666</v>
      </c>
      <c r="EO20" s="70">
        <f t="shared" si="10"/>
        <v>61.182000000000002</v>
      </c>
      <c r="EP20" s="511"/>
      <c r="EQ20" s="511"/>
      <c r="ER20" s="511"/>
      <c r="ES20" s="511"/>
      <c r="ET20" s="511"/>
      <c r="EU20" s="511"/>
      <c r="EV20" s="75" t="s">
        <v>149</v>
      </c>
      <c r="EW20" s="75" t="s">
        <v>166</v>
      </c>
      <c r="EX20" s="76">
        <v>5.274</v>
      </c>
      <c r="EY20" s="76">
        <v>7.5312000000000001</v>
      </c>
      <c r="EZ20" s="508"/>
      <c r="FA20" s="508"/>
      <c r="FB20" s="508"/>
      <c r="FC20" s="508"/>
      <c r="FD20" s="508"/>
      <c r="FE20" s="508"/>
      <c r="FF20" s="72" t="s">
        <v>150</v>
      </c>
      <c r="FG20" s="78" t="s">
        <v>166</v>
      </c>
      <c r="FH20" s="89">
        <v>2.3294000000000001</v>
      </c>
      <c r="FI20" s="89">
        <v>1.2370000000000001</v>
      </c>
      <c r="FJ20" s="72">
        <f t="shared" si="12"/>
        <v>232.94000000000003</v>
      </c>
      <c r="FK20" s="72">
        <f t="shared" si="12"/>
        <v>123.70000000000002</v>
      </c>
      <c r="FL20" s="513"/>
      <c r="FM20" s="513"/>
      <c r="FN20" s="513"/>
      <c r="FO20" s="513"/>
      <c r="FP20" s="513"/>
      <c r="FQ20" s="513"/>
      <c r="FR20" s="29" t="s">
        <v>151</v>
      </c>
      <c r="FS20" s="29" t="s">
        <v>166</v>
      </c>
      <c r="FT20" s="90">
        <v>1.1796</v>
      </c>
      <c r="FU20" s="2">
        <v>0.4909</v>
      </c>
      <c r="FV20" s="2">
        <f t="shared" si="11"/>
        <v>47.183999999999997</v>
      </c>
      <c r="FW20" s="2">
        <f t="shared" si="11"/>
        <v>19.635999999999999</v>
      </c>
      <c r="FX20" s="487"/>
      <c r="FY20" s="487"/>
      <c r="FZ20" s="487"/>
      <c r="GA20" s="487"/>
      <c r="GB20" s="487"/>
      <c r="GC20" s="487"/>
    </row>
    <row r="21" spans="1:185">
      <c r="A21" s="74" t="s">
        <v>135</v>
      </c>
      <c r="B21" s="74">
        <v>35.348399999999998</v>
      </c>
      <c r="C21" s="74">
        <v>16.074000000000002</v>
      </c>
      <c r="D21" s="532"/>
      <c r="E21" s="532"/>
      <c r="F21" s="532"/>
      <c r="G21" s="535"/>
      <c r="H21" s="538"/>
      <c r="I21" s="538"/>
      <c r="J21" s="75" t="s">
        <v>136</v>
      </c>
      <c r="K21" s="75" t="s">
        <v>167</v>
      </c>
      <c r="L21" s="76">
        <v>0.36</v>
      </c>
      <c r="M21" s="76">
        <v>0.32400000000000001</v>
      </c>
      <c r="N21" s="530"/>
      <c r="O21" s="530"/>
      <c r="P21" s="530"/>
      <c r="Q21" s="530"/>
      <c r="R21" s="530"/>
      <c r="S21" s="530"/>
      <c r="T21" s="77" t="s">
        <v>138</v>
      </c>
      <c r="U21" s="77" t="s">
        <v>167</v>
      </c>
      <c r="V21" s="77">
        <v>5.0900000000000001E-2</v>
      </c>
      <c r="W21" s="77">
        <v>0</v>
      </c>
      <c r="X21" s="77">
        <f t="shared" si="0"/>
        <v>2.5449999999999999</v>
      </c>
      <c r="Y21" s="77">
        <f t="shared" si="0"/>
        <v>0</v>
      </c>
      <c r="Z21" s="528"/>
      <c r="AA21" s="528"/>
      <c r="AB21" s="528"/>
      <c r="AC21" s="528"/>
      <c r="AD21" s="528"/>
      <c r="AE21" s="528"/>
      <c r="AF21" s="78" t="s">
        <v>139</v>
      </c>
      <c r="AG21" s="78" t="s">
        <v>167</v>
      </c>
      <c r="AH21" s="93">
        <v>1.4398</v>
      </c>
      <c r="AI21" s="93">
        <v>1.1305000000000001</v>
      </c>
      <c r="AJ21" s="72">
        <f t="shared" si="1"/>
        <v>71.989999999999995</v>
      </c>
      <c r="AK21" s="72">
        <f t="shared" si="1"/>
        <v>56.525000000000006</v>
      </c>
      <c r="AL21" s="526"/>
      <c r="AM21" s="526"/>
      <c r="AN21" s="526"/>
      <c r="AO21" s="526"/>
      <c r="AP21" s="526"/>
      <c r="AQ21" s="526"/>
      <c r="AR21" s="79" t="s">
        <v>140</v>
      </c>
      <c r="AS21" s="79" t="s">
        <v>167</v>
      </c>
      <c r="AT21" s="91">
        <v>0.8649</v>
      </c>
      <c r="AU21" s="91">
        <v>0.42949999999999999</v>
      </c>
      <c r="AV21" s="80">
        <f t="shared" si="2"/>
        <v>129.73500000000001</v>
      </c>
      <c r="AW21" s="80">
        <f t="shared" si="2"/>
        <v>64.424999999999997</v>
      </c>
      <c r="AX21" s="524"/>
      <c r="AY21" s="524"/>
      <c r="AZ21" s="524"/>
      <c r="BA21" s="524"/>
      <c r="BB21" s="524"/>
      <c r="BC21" s="524"/>
      <c r="BD21" s="81" t="s">
        <v>141</v>
      </c>
      <c r="BE21" s="81" t="s">
        <v>167</v>
      </c>
      <c r="BF21" s="82">
        <v>1.1153</v>
      </c>
      <c r="BG21" s="82">
        <v>0.70409999999999995</v>
      </c>
      <c r="BH21" s="59">
        <f t="shared" si="3"/>
        <v>111.53</v>
      </c>
      <c r="BI21" s="59">
        <f t="shared" si="3"/>
        <v>70.41</v>
      </c>
      <c r="BJ21" s="502"/>
      <c r="BK21" s="502"/>
      <c r="BL21" s="502"/>
      <c r="BM21" s="502"/>
      <c r="BN21" s="502"/>
      <c r="BO21" s="502"/>
      <c r="BP21" s="83" t="s">
        <v>142</v>
      </c>
      <c r="BQ21" s="83" t="s">
        <v>167</v>
      </c>
      <c r="BR21" s="83">
        <v>4.53E-2</v>
      </c>
      <c r="BS21" s="83">
        <v>1.21E-2</v>
      </c>
      <c r="BT21" s="61">
        <f t="shared" si="4"/>
        <v>54.36</v>
      </c>
      <c r="BU21" s="61">
        <f t="shared" si="4"/>
        <v>14.52</v>
      </c>
      <c r="BV21" s="521"/>
      <c r="BW21" s="521"/>
      <c r="BX21" s="521"/>
      <c r="BY21" s="521"/>
      <c r="BZ21" s="521"/>
      <c r="CA21" s="521"/>
      <c r="CB21" s="39" t="s">
        <v>143</v>
      </c>
      <c r="CC21" s="39" t="s">
        <v>167</v>
      </c>
      <c r="CD21" s="39">
        <v>0.25829999999999997</v>
      </c>
      <c r="CE21" s="39">
        <v>7.1199999999999999E-2</v>
      </c>
      <c r="CF21" s="41">
        <f t="shared" si="5"/>
        <v>619.91999999999996</v>
      </c>
      <c r="CG21" s="41">
        <f t="shared" si="5"/>
        <v>170.88</v>
      </c>
      <c r="CH21" s="518"/>
      <c r="CI21" s="518"/>
      <c r="CJ21" s="518"/>
      <c r="CK21" s="518"/>
      <c r="CL21" s="518"/>
      <c r="CM21" s="518"/>
      <c r="CN21" s="84" t="s">
        <v>144</v>
      </c>
      <c r="CO21" s="84" t="s">
        <v>167</v>
      </c>
      <c r="CP21" s="84">
        <v>0.29549999999999998</v>
      </c>
      <c r="CQ21" s="84">
        <v>0.16320000000000001</v>
      </c>
      <c r="CR21" s="64">
        <f t="shared" si="6"/>
        <v>354.59999999999997</v>
      </c>
      <c r="CS21" s="64">
        <f t="shared" si="6"/>
        <v>195.84</v>
      </c>
      <c r="CT21" s="515"/>
      <c r="CU21" s="515"/>
      <c r="CV21" s="515"/>
      <c r="CW21" s="515"/>
      <c r="CX21" s="515"/>
      <c r="CY21" s="515"/>
      <c r="CZ21" s="85" t="s">
        <v>145</v>
      </c>
      <c r="DA21" s="85" t="s">
        <v>167</v>
      </c>
      <c r="DB21" s="92">
        <v>1.6032999999999999</v>
      </c>
      <c r="DC21" s="92">
        <v>1.0847</v>
      </c>
      <c r="DD21" s="66">
        <f t="shared" si="7"/>
        <v>48.098999999999997</v>
      </c>
      <c r="DE21" s="66">
        <f t="shared" si="7"/>
        <v>32.540999999999997</v>
      </c>
      <c r="DF21" s="505"/>
      <c r="DG21" s="505"/>
      <c r="DH21" s="505"/>
      <c r="DI21" s="505"/>
      <c r="DJ21" s="505"/>
      <c r="DK21" s="505"/>
      <c r="DL21" s="81" t="s">
        <v>146</v>
      </c>
      <c r="DM21" s="81" t="s">
        <v>167</v>
      </c>
      <c r="DN21" s="82">
        <v>1.4561999999999999</v>
      </c>
      <c r="DO21" s="82">
        <v>0.50290000000000001</v>
      </c>
      <c r="DP21" s="81">
        <f t="shared" si="8"/>
        <v>72.81</v>
      </c>
      <c r="DQ21" s="81">
        <f t="shared" si="8"/>
        <v>25.145</v>
      </c>
      <c r="DR21" s="502"/>
      <c r="DS21" s="502"/>
      <c r="DT21" s="502"/>
      <c r="DU21" s="502"/>
      <c r="DV21" s="502"/>
      <c r="DW21" s="502"/>
      <c r="DX21" s="86" t="s">
        <v>147</v>
      </c>
      <c r="DY21" s="86" t="s">
        <v>167</v>
      </c>
      <c r="DZ21" s="86">
        <v>0.84130000000000005</v>
      </c>
      <c r="EA21" s="86">
        <v>0</v>
      </c>
      <c r="EB21" s="86">
        <f t="shared" si="9"/>
        <v>16.826000000000001</v>
      </c>
      <c r="EC21" s="86">
        <f t="shared" si="9"/>
        <v>0</v>
      </c>
      <c r="ED21" s="499"/>
      <c r="EE21" s="499"/>
      <c r="EF21" s="499"/>
      <c r="EG21" s="499"/>
      <c r="EH21" s="499"/>
      <c r="EI21" s="499"/>
      <c r="EJ21" s="87" t="s">
        <v>148</v>
      </c>
      <c r="EK21" s="87" t="s">
        <v>167</v>
      </c>
      <c r="EL21" s="88">
        <v>2.0015000000000001</v>
      </c>
      <c r="EM21" s="88">
        <v>1.04</v>
      </c>
      <c r="EN21" s="70">
        <f t="shared" si="10"/>
        <v>120.09</v>
      </c>
      <c r="EO21" s="70">
        <f t="shared" si="10"/>
        <v>62.400000000000006</v>
      </c>
      <c r="EP21" s="511"/>
      <c r="EQ21" s="511"/>
      <c r="ER21" s="511"/>
      <c r="ES21" s="511"/>
      <c r="ET21" s="511"/>
      <c r="EU21" s="511"/>
      <c r="EV21" s="75" t="s">
        <v>149</v>
      </c>
      <c r="EW21" s="75" t="s">
        <v>167</v>
      </c>
      <c r="EX21" s="76">
        <v>6.6528</v>
      </c>
      <c r="EY21" s="76">
        <v>10.058400000000001</v>
      </c>
      <c r="EZ21" s="508"/>
      <c r="FA21" s="508"/>
      <c r="FB21" s="508"/>
      <c r="FC21" s="508"/>
      <c r="FD21" s="508"/>
      <c r="FE21" s="508"/>
      <c r="FF21" s="72" t="s">
        <v>150</v>
      </c>
      <c r="FG21" s="78" t="s">
        <v>167</v>
      </c>
      <c r="FH21" s="89">
        <v>2.6118000000000001</v>
      </c>
      <c r="FI21" s="89">
        <v>1.2729999999999999</v>
      </c>
      <c r="FJ21" s="72">
        <f t="shared" si="12"/>
        <v>261.18</v>
      </c>
      <c r="FK21" s="72">
        <f t="shared" si="12"/>
        <v>127.3</v>
      </c>
      <c r="FL21" s="513"/>
      <c r="FM21" s="513"/>
      <c r="FN21" s="513"/>
      <c r="FO21" s="513"/>
      <c r="FP21" s="513"/>
      <c r="FQ21" s="513"/>
      <c r="FR21" s="29" t="s">
        <v>151</v>
      </c>
      <c r="FS21" s="29" t="s">
        <v>167</v>
      </c>
      <c r="FT21" s="90">
        <v>1.1516999999999999</v>
      </c>
      <c r="FU21" s="2">
        <v>0.48520000000000002</v>
      </c>
      <c r="FV21" s="2">
        <f t="shared" si="11"/>
        <v>46.067999999999998</v>
      </c>
      <c r="FW21" s="2">
        <f t="shared" si="11"/>
        <v>19.408000000000001</v>
      </c>
      <c r="FX21" s="487"/>
      <c r="FY21" s="487"/>
      <c r="FZ21" s="487"/>
      <c r="GA21" s="487"/>
      <c r="GB21" s="487"/>
      <c r="GC21" s="487"/>
    </row>
    <row r="22" spans="1:185">
      <c r="A22" s="74" t="s">
        <v>135</v>
      </c>
      <c r="B22" s="74">
        <v>34.927199999999999</v>
      </c>
      <c r="C22" s="74">
        <v>16.956</v>
      </c>
      <c r="D22" s="533"/>
      <c r="E22" s="533"/>
      <c r="F22" s="533"/>
      <c r="G22" s="536"/>
      <c r="H22" s="539"/>
      <c r="I22" s="539"/>
      <c r="J22" s="75" t="s">
        <v>136</v>
      </c>
      <c r="K22" s="75" t="s">
        <v>168</v>
      </c>
      <c r="L22" s="76">
        <v>0.34560000000000002</v>
      </c>
      <c r="M22" s="76">
        <v>0.3276</v>
      </c>
      <c r="N22" s="542"/>
      <c r="O22" s="542"/>
      <c r="P22" s="530"/>
      <c r="Q22" s="542"/>
      <c r="R22" s="542"/>
      <c r="S22" s="542"/>
      <c r="T22" s="77" t="s">
        <v>138</v>
      </c>
      <c r="U22" s="77" t="s">
        <v>168</v>
      </c>
      <c r="V22" s="77">
        <v>8.4099999999999994E-2</v>
      </c>
      <c r="W22" s="77">
        <v>0</v>
      </c>
      <c r="X22" s="77">
        <f t="shared" si="0"/>
        <v>4.2050000000000001</v>
      </c>
      <c r="Y22" s="77">
        <f t="shared" si="0"/>
        <v>0</v>
      </c>
      <c r="Z22" s="543"/>
      <c r="AA22" s="543"/>
      <c r="AB22" s="528"/>
      <c r="AC22" s="543"/>
      <c r="AD22" s="543"/>
      <c r="AE22" s="543"/>
      <c r="AF22" s="78" t="s">
        <v>139</v>
      </c>
      <c r="AG22" s="78" t="s">
        <v>168</v>
      </c>
      <c r="AH22" s="93">
        <v>1.1880999999999999</v>
      </c>
      <c r="AI22" s="93">
        <v>0.87870000000000004</v>
      </c>
      <c r="AJ22" s="72">
        <f t="shared" si="1"/>
        <v>59.404999999999994</v>
      </c>
      <c r="AK22" s="72">
        <f t="shared" si="1"/>
        <v>43.935000000000002</v>
      </c>
      <c r="AL22" s="541"/>
      <c r="AM22" s="541"/>
      <c r="AN22" s="526"/>
      <c r="AO22" s="541"/>
      <c r="AP22" s="541"/>
      <c r="AQ22" s="541"/>
      <c r="AR22" s="79" t="s">
        <v>140</v>
      </c>
      <c r="AS22" s="79" t="s">
        <v>168</v>
      </c>
      <c r="AT22" s="91">
        <v>0.62250000000000005</v>
      </c>
      <c r="AU22" s="91">
        <v>0.3629</v>
      </c>
      <c r="AV22" s="80">
        <f t="shared" si="2"/>
        <v>93.375000000000014</v>
      </c>
      <c r="AW22" s="80">
        <f t="shared" si="2"/>
        <v>54.435000000000002</v>
      </c>
      <c r="AX22" s="540"/>
      <c r="AY22" s="540"/>
      <c r="AZ22" s="524"/>
      <c r="BA22" s="540"/>
      <c r="BB22" s="540"/>
      <c r="BC22" s="540"/>
      <c r="BD22" s="81" t="s">
        <v>141</v>
      </c>
      <c r="BE22" s="81" t="s">
        <v>168</v>
      </c>
      <c r="BF22" s="82">
        <v>1.1162000000000001</v>
      </c>
      <c r="BG22" s="82">
        <v>0.69</v>
      </c>
      <c r="BH22" s="59">
        <f t="shared" si="3"/>
        <v>111.62</v>
      </c>
      <c r="BI22" s="59">
        <f t="shared" si="3"/>
        <v>69</v>
      </c>
      <c r="BJ22" s="503"/>
      <c r="BK22" s="503"/>
      <c r="BL22" s="503"/>
      <c r="BM22" s="503"/>
      <c r="BN22" s="503"/>
      <c r="BO22" s="503"/>
      <c r="BP22" s="83" t="s">
        <v>142</v>
      </c>
      <c r="BQ22" s="83" t="s">
        <v>168</v>
      </c>
      <c r="BR22" s="83">
        <v>6.1499999999999999E-2</v>
      </c>
      <c r="BS22" s="83">
        <v>8.8999999999999999E-3</v>
      </c>
      <c r="BT22" s="61">
        <f t="shared" si="4"/>
        <v>73.8</v>
      </c>
      <c r="BU22" s="61">
        <f t="shared" si="4"/>
        <v>10.68</v>
      </c>
      <c r="BV22" s="522"/>
      <c r="BW22" s="522"/>
      <c r="BX22" s="522"/>
      <c r="BY22" s="522"/>
      <c r="BZ22" s="522"/>
      <c r="CA22" s="522"/>
      <c r="CB22" s="39" t="s">
        <v>143</v>
      </c>
      <c r="CC22" s="39" t="s">
        <v>168</v>
      </c>
      <c r="CD22" s="39">
        <v>0.2351</v>
      </c>
      <c r="CE22" s="39">
        <v>6.8099999999999994E-2</v>
      </c>
      <c r="CF22" s="41">
        <f t="shared" si="5"/>
        <v>564.24</v>
      </c>
      <c r="CG22" s="41">
        <f t="shared" si="5"/>
        <v>163.44</v>
      </c>
      <c r="CH22" s="519"/>
      <c r="CI22" s="519"/>
      <c r="CJ22" s="519"/>
      <c r="CK22" s="519"/>
      <c r="CL22" s="519"/>
      <c r="CM22" s="519"/>
      <c r="CN22" s="84" t="s">
        <v>144</v>
      </c>
      <c r="CO22" s="84" t="s">
        <v>168</v>
      </c>
      <c r="CP22" s="84">
        <v>0.30020000000000002</v>
      </c>
      <c r="CQ22" s="84">
        <v>0.16700000000000001</v>
      </c>
      <c r="CR22" s="64">
        <f t="shared" si="6"/>
        <v>360.24</v>
      </c>
      <c r="CS22" s="64">
        <f t="shared" si="6"/>
        <v>200.4</v>
      </c>
      <c r="CT22" s="516"/>
      <c r="CU22" s="516"/>
      <c r="CV22" s="516"/>
      <c r="CW22" s="516"/>
      <c r="CX22" s="516"/>
      <c r="CY22" s="516"/>
      <c r="CZ22" s="85" t="s">
        <v>145</v>
      </c>
      <c r="DA22" s="85" t="s">
        <v>168</v>
      </c>
      <c r="DB22" s="92">
        <v>1.4731000000000001</v>
      </c>
      <c r="DC22" s="92">
        <v>1.1529</v>
      </c>
      <c r="DD22" s="66">
        <f t="shared" si="7"/>
        <v>44.193000000000005</v>
      </c>
      <c r="DE22" s="66">
        <f t="shared" si="7"/>
        <v>34.587000000000003</v>
      </c>
      <c r="DF22" s="506"/>
      <c r="DG22" s="506"/>
      <c r="DH22" s="506"/>
      <c r="DI22" s="506"/>
      <c r="DJ22" s="506"/>
      <c r="DK22" s="506"/>
      <c r="DL22" s="81" t="s">
        <v>146</v>
      </c>
      <c r="DM22" s="81" t="s">
        <v>168</v>
      </c>
      <c r="DN22" s="82">
        <v>1.3178000000000001</v>
      </c>
      <c r="DO22" s="82">
        <v>0.43869999999999998</v>
      </c>
      <c r="DP22" s="81">
        <f t="shared" si="8"/>
        <v>65.89</v>
      </c>
      <c r="DQ22" s="81">
        <f t="shared" si="8"/>
        <v>21.934999999999999</v>
      </c>
      <c r="DR22" s="503"/>
      <c r="DS22" s="503"/>
      <c r="DT22" s="503"/>
      <c r="DU22" s="503"/>
      <c r="DV22" s="503"/>
      <c r="DW22" s="503"/>
      <c r="DX22" s="86" t="s">
        <v>147</v>
      </c>
      <c r="DY22" s="86" t="s">
        <v>168</v>
      </c>
      <c r="DZ22" s="86">
        <v>0.1678</v>
      </c>
      <c r="EA22" s="86">
        <v>0</v>
      </c>
      <c r="EB22" s="86">
        <f t="shared" si="9"/>
        <v>3.3559999999999999</v>
      </c>
      <c r="EC22" s="86">
        <f t="shared" si="9"/>
        <v>0</v>
      </c>
      <c r="ED22" s="500"/>
      <c r="EE22" s="500"/>
      <c r="EF22" s="500"/>
      <c r="EG22" s="500"/>
      <c r="EH22" s="500"/>
      <c r="EI22" s="500"/>
      <c r="EJ22" s="87" t="s">
        <v>148</v>
      </c>
      <c r="EK22" s="87" t="s">
        <v>168</v>
      </c>
      <c r="EL22" s="88">
        <v>2.1149</v>
      </c>
      <c r="EM22" s="88">
        <v>1.1234999999999999</v>
      </c>
      <c r="EN22" s="70">
        <f t="shared" si="10"/>
        <v>126.89400000000001</v>
      </c>
      <c r="EO22" s="70">
        <f t="shared" si="10"/>
        <v>67.41</v>
      </c>
      <c r="EP22" s="512"/>
      <c r="EQ22" s="512"/>
      <c r="ER22" s="512"/>
      <c r="ES22" s="512"/>
      <c r="ET22" s="512"/>
      <c r="EU22" s="512"/>
      <c r="EV22" s="75" t="s">
        <v>149</v>
      </c>
      <c r="EW22" s="75" t="s">
        <v>168</v>
      </c>
      <c r="EX22" s="76">
        <v>4.806</v>
      </c>
      <c r="EY22" s="76">
        <v>9.0180000000000007</v>
      </c>
      <c r="EZ22" s="509"/>
      <c r="FA22" s="509"/>
      <c r="FB22" s="509"/>
      <c r="FC22" s="509"/>
      <c r="FD22" s="509"/>
      <c r="FE22" s="509"/>
      <c r="FF22" s="72" t="s">
        <v>150</v>
      </c>
      <c r="FG22" s="78" t="s">
        <v>168</v>
      </c>
      <c r="FH22" s="89">
        <v>2.3180999999999998</v>
      </c>
      <c r="FI22" s="89">
        <v>1.2910999999999999</v>
      </c>
      <c r="FJ22" s="72">
        <f t="shared" si="12"/>
        <v>231.80999999999997</v>
      </c>
      <c r="FK22" s="72">
        <f t="shared" si="12"/>
        <v>129.10999999999999</v>
      </c>
      <c r="FL22" s="513"/>
      <c r="FM22" s="513"/>
      <c r="FN22" s="513"/>
      <c r="FO22" s="513"/>
      <c r="FP22" s="513"/>
      <c r="FQ22" s="513"/>
      <c r="FR22" s="29" t="s">
        <v>151</v>
      </c>
      <c r="FS22" s="29" t="s">
        <v>168</v>
      </c>
      <c r="FT22" s="90">
        <v>1.593</v>
      </c>
      <c r="FU22" s="2">
        <v>0.74119999999999997</v>
      </c>
      <c r="FV22" s="2">
        <f t="shared" ref="FV22:FW29" si="13">FT22*40</f>
        <v>63.72</v>
      </c>
      <c r="FW22" s="2">
        <f t="shared" si="13"/>
        <v>29.648</v>
      </c>
      <c r="FX22" s="487"/>
      <c r="FY22" s="487"/>
      <c r="FZ22" s="487"/>
      <c r="GA22" s="487"/>
      <c r="GB22" s="487"/>
      <c r="GC22" s="487"/>
    </row>
    <row r="23" spans="1:185">
      <c r="A23" s="74" t="s">
        <v>135</v>
      </c>
      <c r="B23" s="74">
        <v>34.448399999999999</v>
      </c>
      <c r="C23" s="74">
        <v>17.117999999999999</v>
      </c>
      <c r="D23" s="531" t="s">
        <v>169</v>
      </c>
      <c r="E23" s="531">
        <f>MAX(B23:B28)</f>
        <v>34.448399999999999</v>
      </c>
      <c r="F23" s="531" t="s">
        <v>169</v>
      </c>
      <c r="G23" s="534">
        <f>(MAX(B23:B28)*6*30)</f>
        <v>6200.7120000000004</v>
      </c>
      <c r="H23" s="537"/>
      <c r="I23" s="537"/>
      <c r="J23" s="75" t="s">
        <v>136</v>
      </c>
      <c r="K23" s="75" t="s">
        <v>170</v>
      </c>
      <c r="L23" s="76">
        <v>0.36</v>
      </c>
      <c r="M23" s="76">
        <v>0.36</v>
      </c>
      <c r="N23" s="529" t="s">
        <v>169</v>
      </c>
      <c r="O23" s="529">
        <f>MAX(L23:L28)</f>
        <v>3.5964</v>
      </c>
      <c r="P23" s="529" t="s">
        <v>169</v>
      </c>
      <c r="Q23" s="529">
        <f>(MAX(L23:L28)*6*30)</f>
        <v>647.35200000000009</v>
      </c>
      <c r="R23" s="529"/>
      <c r="S23" s="529"/>
      <c r="T23" s="77" t="s">
        <v>138</v>
      </c>
      <c r="U23" s="77" t="s">
        <v>170</v>
      </c>
      <c r="V23" s="77">
        <v>5.0999999999999997E-2</v>
      </c>
      <c r="W23" s="77">
        <v>0</v>
      </c>
      <c r="X23" s="77">
        <f t="shared" si="0"/>
        <v>2.5499999999999998</v>
      </c>
      <c r="Y23" s="77">
        <f t="shared" si="0"/>
        <v>0</v>
      </c>
      <c r="Z23" s="527" t="s">
        <v>169</v>
      </c>
      <c r="AA23" s="527">
        <f>MAX(X23:X28)</f>
        <v>4.1900000000000004</v>
      </c>
      <c r="AB23" s="527" t="s">
        <v>169</v>
      </c>
      <c r="AC23" s="527">
        <f>(MAX(X23:X28)*6*30)</f>
        <v>754.2</v>
      </c>
      <c r="AD23" s="527"/>
      <c r="AE23" s="527"/>
      <c r="AF23" s="78" t="s">
        <v>139</v>
      </c>
      <c r="AG23" s="78" t="s">
        <v>170</v>
      </c>
      <c r="AH23" s="78">
        <v>5.1000000000000004E-3</v>
      </c>
      <c r="AI23" s="78">
        <v>0</v>
      </c>
      <c r="AJ23" s="72">
        <f t="shared" si="1"/>
        <v>0.255</v>
      </c>
      <c r="AK23" s="72">
        <f t="shared" si="1"/>
        <v>0</v>
      </c>
      <c r="AL23" s="525" t="s">
        <v>169</v>
      </c>
      <c r="AM23" s="525">
        <f>MAX(AJ23:AJ28)</f>
        <v>2.41</v>
      </c>
      <c r="AN23" s="525" t="s">
        <v>169</v>
      </c>
      <c r="AO23" s="525">
        <f>(MAX(AJ23:AJ28)*6*30)</f>
        <v>433.8</v>
      </c>
      <c r="AP23" s="525"/>
      <c r="AQ23" s="525"/>
      <c r="AR23" s="79" t="s">
        <v>140</v>
      </c>
      <c r="AS23" s="79" t="s">
        <v>170</v>
      </c>
      <c r="AT23" s="91">
        <v>0.68789999999999996</v>
      </c>
      <c r="AU23" s="91">
        <v>0.44619999999999999</v>
      </c>
      <c r="AV23" s="80">
        <f t="shared" si="2"/>
        <v>103.18499999999999</v>
      </c>
      <c r="AW23" s="80">
        <f t="shared" si="2"/>
        <v>66.929999999999993</v>
      </c>
      <c r="AX23" s="523" t="s">
        <v>169</v>
      </c>
      <c r="AY23" s="523">
        <f>MAX(AV23:AV28)</f>
        <v>104.28</v>
      </c>
      <c r="AZ23" s="523" t="s">
        <v>169</v>
      </c>
      <c r="BA23" s="523">
        <f>(MAX(AV23:AV28)*6*30)</f>
        <v>18770.400000000001</v>
      </c>
      <c r="BB23" s="523"/>
      <c r="BC23" s="523"/>
      <c r="BD23" s="81" t="s">
        <v>141</v>
      </c>
      <c r="BE23" s="81" t="s">
        <v>170</v>
      </c>
      <c r="BF23" s="82">
        <v>1.1163000000000001</v>
      </c>
      <c r="BG23" s="81">
        <v>0.71289999999999998</v>
      </c>
      <c r="BH23" s="59">
        <f t="shared" si="3"/>
        <v>111.63000000000001</v>
      </c>
      <c r="BI23" s="59">
        <f t="shared" si="3"/>
        <v>71.289999999999992</v>
      </c>
      <c r="BJ23" s="501" t="s">
        <v>169</v>
      </c>
      <c r="BK23" s="501">
        <f>MAX(BH23:BH28)</f>
        <v>111.63000000000001</v>
      </c>
      <c r="BL23" s="501" t="s">
        <v>169</v>
      </c>
      <c r="BM23" s="501">
        <f>(MAX(BH23:BH28)*6*30)</f>
        <v>20093.400000000001</v>
      </c>
      <c r="BN23" s="501"/>
      <c r="BO23" s="501"/>
      <c r="BP23" s="83" t="s">
        <v>142</v>
      </c>
      <c r="BQ23" s="83" t="s">
        <v>170</v>
      </c>
      <c r="BR23" s="83">
        <v>6.6299999999999998E-2</v>
      </c>
      <c r="BS23" s="83">
        <v>1.32E-2</v>
      </c>
      <c r="BT23" s="61">
        <f t="shared" si="4"/>
        <v>79.56</v>
      </c>
      <c r="BU23" s="61">
        <f t="shared" si="4"/>
        <v>15.84</v>
      </c>
      <c r="BV23" s="520" t="s">
        <v>169</v>
      </c>
      <c r="BW23" s="520">
        <f>MAX(BT23:BT28)</f>
        <v>79.56</v>
      </c>
      <c r="BX23" s="520" t="s">
        <v>169</v>
      </c>
      <c r="BY23" s="520">
        <f>(MAX(BT23:BT28)*6*30)</f>
        <v>14320.800000000001</v>
      </c>
      <c r="BZ23" s="520"/>
      <c r="CA23" s="520"/>
      <c r="CB23" s="39" t="s">
        <v>143</v>
      </c>
      <c r="CC23" s="39" t="s">
        <v>170</v>
      </c>
      <c r="CD23" s="39">
        <v>0.2535</v>
      </c>
      <c r="CE23" s="39">
        <v>6.8699999999999997E-2</v>
      </c>
      <c r="CF23" s="41">
        <f t="shared" si="5"/>
        <v>608.4</v>
      </c>
      <c r="CG23" s="41">
        <f t="shared" si="5"/>
        <v>164.88</v>
      </c>
      <c r="CH23" s="517" t="s">
        <v>169</v>
      </c>
      <c r="CI23" s="517">
        <f>MAX(CF23:CF28)</f>
        <v>638.16000000000008</v>
      </c>
      <c r="CJ23" s="517" t="s">
        <v>169</v>
      </c>
      <c r="CK23" s="517">
        <f>(MAX(CF23:CF28)*6*30)</f>
        <v>114868.80000000002</v>
      </c>
      <c r="CL23" s="517"/>
      <c r="CM23" s="517"/>
      <c r="CN23" s="84" t="s">
        <v>144</v>
      </c>
      <c r="CO23" s="84" t="s">
        <v>170</v>
      </c>
      <c r="CP23" s="84">
        <v>0.31509999999999999</v>
      </c>
      <c r="CQ23" s="84">
        <v>0.1724</v>
      </c>
      <c r="CR23" s="64">
        <f t="shared" si="6"/>
        <v>378.12</v>
      </c>
      <c r="CS23" s="64">
        <f t="shared" si="6"/>
        <v>206.88</v>
      </c>
      <c r="CT23" s="514" t="s">
        <v>169</v>
      </c>
      <c r="CU23" s="514">
        <f>MAX(CR23:CR28)</f>
        <v>393.24</v>
      </c>
      <c r="CV23" s="514" t="s">
        <v>169</v>
      </c>
      <c r="CW23" s="514">
        <f>(MAX(CR23:CR28)*6*30)</f>
        <v>70783.199999999997</v>
      </c>
      <c r="CX23" s="514"/>
      <c r="CY23" s="514"/>
      <c r="CZ23" s="85" t="s">
        <v>145</v>
      </c>
      <c r="DA23" s="85" t="s">
        <v>170</v>
      </c>
      <c r="DB23" s="85">
        <v>4.0399999999999998E-2</v>
      </c>
      <c r="DC23" s="85">
        <v>2.9399999999999999E-2</v>
      </c>
      <c r="DD23" s="66">
        <f t="shared" si="7"/>
        <v>1.212</v>
      </c>
      <c r="DE23" s="66">
        <f t="shared" si="7"/>
        <v>0.88200000000000001</v>
      </c>
      <c r="DF23" s="504" t="s">
        <v>169</v>
      </c>
      <c r="DG23" s="504">
        <f>MAX(DD23:DD28)</f>
        <v>4.4189999999999996</v>
      </c>
      <c r="DH23" s="504" t="s">
        <v>169</v>
      </c>
      <c r="DI23" s="504">
        <f>(MAX(DD23:DD28)*6*30)</f>
        <v>795.41999999999985</v>
      </c>
      <c r="DJ23" s="504"/>
      <c r="DK23" s="504"/>
      <c r="DL23" s="81" t="s">
        <v>146</v>
      </c>
      <c r="DM23" s="81" t="s">
        <v>170</v>
      </c>
      <c r="DN23" s="82">
        <v>1.3425</v>
      </c>
      <c r="DO23" s="82">
        <v>0.48</v>
      </c>
      <c r="DP23" s="81">
        <f t="shared" si="8"/>
        <v>67.125</v>
      </c>
      <c r="DQ23" s="81">
        <f t="shared" si="8"/>
        <v>24</v>
      </c>
      <c r="DR23" s="501" t="s">
        <v>169</v>
      </c>
      <c r="DS23" s="501">
        <f>MAX(DP23:DP28)</f>
        <v>67.125</v>
      </c>
      <c r="DT23" s="501" t="s">
        <v>169</v>
      </c>
      <c r="DU23" s="501">
        <f>(MAX(DP23:DP28)*6*30)</f>
        <v>12082.5</v>
      </c>
      <c r="DV23" s="501"/>
      <c r="DW23" s="501"/>
      <c r="DX23" s="86" t="s">
        <v>147</v>
      </c>
      <c r="DY23" s="86" t="s">
        <v>170</v>
      </c>
      <c r="DZ23" s="86">
        <v>0.15490000000000001</v>
      </c>
      <c r="EA23" s="86">
        <v>0</v>
      </c>
      <c r="EB23" s="86">
        <f t="shared" si="9"/>
        <v>3.0980000000000003</v>
      </c>
      <c r="EC23" s="86">
        <f t="shared" si="9"/>
        <v>0</v>
      </c>
      <c r="ED23" s="498" t="s">
        <v>169</v>
      </c>
      <c r="EE23" s="498">
        <f>MAX(EB23:EB28)</f>
        <v>7.3079999999999998</v>
      </c>
      <c r="EF23" s="498" t="s">
        <v>169</v>
      </c>
      <c r="EG23" s="498">
        <f>(MAX(EB23:EB28)*6*30)</f>
        <v>1315.44</v>
      </c>
      <c r="EH23" s="498"/>
      <c r="EI23" s="498"/>
      <c r="EJ23" s="87" t="s">
        <v>148</v>
      </c>
      <c r="EK23" s="87" t="s">
        <v>170</v>
      </c>
      <c r="EL23" s="88">
        <v>2.4234</v>
      </c>
      <c r="EM23" s="88">
        <v>1.3137000000000001</v>
      </c>
      <c r="EN23" s="70">
        <f t="shared" si="10"/>
        <v>145.404</v>
      </c>
      <c r="EO23" s="70">
        <f t="shared" si="10"/>
        <v>78.822000000000003</v>
      </c>
      <c r="EP23" s="510" t="s">
        <v>169</v>
      </c>
      <c r="EQ23" s="510">
        <f>MAX(EN21:EN26)</f>
        <v>145.404</v>
      </c>
      <c r="ER23" s="510" t="s">
        <v>169</v>
      </c>
      <c r="ES23" s="510">
        <f>(MAX(EN21:EN26)*6*30)</f>
        <v>26172.720000000001</v>
      </c>
      <c r="ET23" s="510"/>
      <c r="EU23" s="510"/>
      <c r="EV23" s="75" t="s">
        <v>149</v>
      </c>
      <c r="EW23" s="75" t="s">
        <v>170</v>
      </c>
      <c r="EX23" s="76">
        <v>5.9652000000000003</v>
      </c>
      <c r="EY23" s="76">
        <v>11.217599999999999</v>
      </c>
      <c r="EZ23" s="507" t="s">
        <v>169</v>
      </c>
      <c r="FA23" s="507">
        <f>MAX(EX23:EX28)</f>
        <v>5.9652000000000003</v>
      </c>
      <c r="FB23" s="507" t="s">
        <v>169</v>
      </c>
      <c r="FC23" s="507">
        <f>(MAX(EX23:EX28)*6*30)</f>
        <v>1073.7360000000001</v>
      </c>
      <c r="FD23" s="507"/>
      <c r="FE23" s="507"/>
      <c r="FF23" s="72" t="s">
        <v>150</v>
      </c>
      <c r="FG23" s="78" t="s">
        <v>170</v>
      </c>
      <c r="FH23" s="89">
        <v>2.7530000000000001</v>
      </c>
      <c r="FI23" s="89">
        <v>1.3459000000000001</v>
      </c>
      <c r="FJ23" s="72">
        <f t="shared" si="12"/>
        <v>275.3</v>
      </c>
      <c r="FK23" s="72">
        <f t="shared" si="12"/>
        <v>134.59</v>
      </c>
      <c r="FL23" s="513" t="s">
        <v>169</v>
      </c>
      <c r="FM23" s="513">
        <f>MAX(FJ23:FJ28)</f>
        <v>275.3</v>
      </c>
      <c r="FN23" s="513" t="s">
        <v>169</v>
      </c>
      <c r="FO23" s="513">
        <f>(MAX(FJ23:FJ28)*6*30)</f>
        <v>49554.000000000007</v>
      </c>
      <c r="FP23" s="513"/>
      <c r="FQ23" s="513"/>
      <c r="FR23" s="29" t="s">
        <v>151</v>
      </c>
      <c r="FS23" s="29" t="s">
        <v>170</v>
      </c>
      <c r="FT23" s="90">
        <v>2.0884</v>
      </c>
      <c r="FU23" s="90">
        <v>1.0261</v>
      </c>
      <c r="FV23" s="2">
        <f t="shared" si="13"/>
        <v>83.536000000000001</v>
      </c>
      <c r="FW23" s="2">
        <f t="shared" si="13"/>
        <v>41.043999999999997</v>
      </c>
      <c r="FX23" s="487" t="s">
        <v>169</v>
      </c>
      <c r="FY23" s="487">
        <f>MAX(FV23:FV28)</f>
        <v>86.096000000000004</v>
      </c>
      <c r="FZ23" s="487" t="s">
        <v>169</v>
      </c>
      <c r="GA23" s="487">
        <f>(MAX(FV23:FV28)*6*30)</f>
        <v>15497.28</v>
      </c>
      <c r="GB23" s="487"/>
      <c r="GC23" s="487"/>
    </row>
    <row r="24" spans="1:185">
      <c r="A24" s="74" t="s">
        <v>135</v>
      </c>
      <c r="B24" s="74">
        <v>26.683199999999999</v>
      </c>
      <c r="C24" s="74">
        <v>13.467599999999999</v>
      </c>
      <c r="D24" s="532"/>
      <c r="E24" s="532"/>
      <c r="F24" s="532"/>
      <c r="G24" s="535"/>
      <c r="H24" s="538"/>
      <c r="I24" s="538"/>
      <c r="J24" s="75" t="s">
        <v>136</v>
      </c>
      <c r="K24" s="75" t="s">
        <v>171</v>
      </c>
      <c r="L24" s="76">
        <v>1.62</v>
      </c>
      <c r="M24" s="76">
        <v>0.78839999999999999</v>
      </c>
      <c r="N24" s="530"/>
      <c r="O24" s="530"/>
      <c r="P24" s="530"/>
      <c r="Q24" s="530"/>
      <c r="R24" s="530"/>
      <c r="S24" s="530"/>
      <c r="T24" s="77" t="s">
        <v>138</v>
      </c>
      <c r="U24" s="77" t="s">
        <v>171</v>
      </c>
      <c r="V24" s="77">
        <v>2.23E-2</v>
      </c>
      <c r="W24" s="77">
        <v>0</v>
      </c>
      <c r="X24" s="77">
        <f t="shared" si="0"/>
        <v>1.115</v>
      </c>
      <c r="Y24" s="77">
        <f t="shared" si="0"/>
        <v>0</v>
      </c>
      <c r="Z24" s="528"/>
      <c r="AA24" s="528"/>
      <c r="AB24" s="528"/>
      <c r="AC24" s="528"/>
      <c r="AD24" s="528"/>
      <c r="AE24" s="528"/>
      <c r="AF24" s="78" t="s">
        <v>139</v>
      </c>
      <c r="AG24" s="78" t="s">
        <v>171</v>
      </c>
      <c r="AH24" s="78">
        <v>2.7199999999999998E-2</v>
      </c>
      <c r="AI24" s="78">
        <v>0</v>
      </c>
      <c r="AJ24" s="72">
        <f t="shared" si="1"/>
        <v>1.3599999999999999</v>
      </c>
      <c r="AK24" s="72">
        <f t="shared" si="1"/>
        <v>0</v>
      </c>
      <c r="AL24" s="526"/>
      <c r="AM24" s="526"/>
      <c r="AN24" s="526"/>
      <c r="AO24" s="526"/>
      <c r="AP24" s="526"/>
      <c r="AQ24" s="526"/>
      <c r="AR24" s="79" t="s">
        <v>140</v>
      </c>
      <c r="AS24" s="79" t="s">
        <v>171</v>
      </c>
      <c r="AT24" s="91">
        <v>0.66149999999999998</v>
      </c>
      <c r="AU24" s="91">
        <v>0.42599999999999999</v>
      </c>
      <c r="AV24" s="80">
        <f t="shared" si="2"/>
        <v>99.224999999999994</v>
      </c>
      <c r="AW24" s="80">
        <f t="shared" si="2"/>
        <v>63.9</v>
      </c>
      <c r="AX24" s="524"/>
      <c r="AY24" s="524"/>
      <c r="AZ24" s="524"/>
      <c r="BA24" s="524"/>
      <c r="BB24" s="524"/>
      <c r="BC24" s="524"/>
      <c r="BD24" s="81" t="s">
        <v>141</v>
      </c>
      <c r="BE24" s="81" t="s">
        <v>171</v>
      </c>
      <c r="BF24" s="81">
        <v>0.94430000000000003</v>
      </c>
      <c r="BG24" s="81">
        <v>0.71819999999999995</v>
      </c>
      <c r="BH24" s="59">
        <f t="shared" si="3"/>
        <v>94.43</v>
      </c>
      <c r="BI24" s="59">
        <f t="shared" si="3"/>
        <v>71.819999999999993</v>
      </c>
      <c r="BJ24" s="502"/>
      <c r="BK24" s="502"/>
      <c r="BL24" s="502"/>
      <c r="BM24" s="502"/>
      <c r="BN24" s="502"/>
      <c r="BO24" s="502"/>
      <c r="BP24" s="83" t="s">
        <v>142</v>
      </c>
      <c r="BQ24" s="83" t="s">
        <v>171</v>
      </c>
      <c r="BR24" s="83">
        <v>5.3400000000000003E-2</v>
      </c>
      <c r="BS24" s="83">
        <v>1.49E-2</v>
      </c>
      <c r="BT24" s="61">
        <f t="shared" si="4"/>
        <v>64.08</v>
      </c>
      <c r="BU24" s="61">
        <f t="shared" si="4"/>
        <v>17.88</v>
      </c>
      <c r="BV24" s="521"/>
      <c r="BW24" s="521"/>
      <c r="BX24" s="521"/>
      <c r="BY24" s="521"/>
      <c r="BZ24" s="521"/>
      <c r="CA24" s="521"/>
      <c r="CB24" s="39" t="s">
        <v>143</v>
      </c>
      <c r="CC24" s="39" t="s">
        <v>171</v>
      </c>
      <c r="CD24" s="39">
        <v>0.26200000000000001</v>
      </c>
      <c r="CE24" s="39">
        <v>7.3400000000000007E-2</v>
      </c>
      <c r="CF24" s="41">
        <f t="shared" si="5"/>
        <v>628.80000000000007</v>
      </c>
      <c r="CG24" s="41">
        <f t="shared" si="5"/>
        <v>176.16000000000003</v>
      </c>
      <c r="CH24" s="518"/>
      <c r="CI24" s="518"/>
      <c r="CJ24" s="518"/>
      <c r="CK24" s="518"/>
      <c r="CL24" s="518"/>
      <c r="CM24" s="518"/>
      <c r="CN24" s="84" t="s">
        <v>144</v>
      </c>
      <c r="CO24" s="84" t="s">
        <v>171</v>
      </c>
      <c r="CP24" s="84">
        <v>0.3206</v>
      </c>
      <c r="CQ24" s="84">
        <v>0.18229999999999999</v>
      </c>
      <c r="CR24" s="64">
        <f t="shared" si="6"/>
        <v>384.71999999999997</v>
      </c>
      <c r="CS24" s="64">
        <f t="shared" si="6"/>
        <v>218.76</v>
      </c>
      <c r="CT24" s="515"/>
      <c r="CU24" s="515"/>
      <c r="CV24" s="515"/>
      <c r="CW24" s="515"/>
      <c r="CX24" s="515"/>
      <c r="CY24" s="515"/>
      <c r="CZ24" s="85" t="s">
        <v>145</v>
      </c>
      <c r="DA24" s="85" t="s">
        <v>171</v>
      </c>
      <c r="DB24" s="85">
        <v>0.14729999999999999</v>
      </c>
      <c r="DC24" s="85">
        <v>9.1800000000000007E-2</v>
      </c>
      <c r="DD24" s="66">
        <f t="shared" si="7"/>
        <v>4.4189999999999996</v>
      </c>
      <c r="DE24" s="66">
        <f t="shared" si="7"/>
        <v>2.754</v>
      </c>
      <c r="DF24" s="505"/>
      <c r="DG24" s="505"/>
      <c r="DH24" s="505"/>
      <c r="DI24" s="505"/>
      <c r="DJ24" s="505"/>
      <c r="DK24" s="505"/>
      <c r="DL24" s="81" t="s">
        <v>146</v>
      </c>
      <c r="DM24" s="81" t="s">
        <v>171</v>
      </c>
      <c r="DN24" s="82">
        <v>1.1737</v>
      </c>
      <c r="DO24" s="82">
        <v>0.2424</v>
      </c>
      <c r="DP24" s="81">
        <f t="shared" si="8"/>
        <v>58.684999999999995</v>
      </c>
      <c r="DQ24" s="81">
        <f t="shared" si="8"/>
        <v>12.120000000000001</v>
      </c>
      <c r="DR24" s="502"/>
      <c r="DS24" s="502"/>
      <c r="DT24" s="502"/>
      <c r="DU24" s="502"/>
      <c r="DV24" s="502"/>
      <c r="DW24" s="502"/>
      <c r="DX24" s="86" t="s">
        <v>147</v>
      </c>
      <c r="DY24" s="86" t="s">
        <v>171</v>
      </c>
      <c r="DZ24" s="86">
        <v>0.1537</v>
      </c>
      <c r="EA24" s="86">
        <v>0</v>
      </c>
      <c r="EB24" s="86">
        <f t="shared" si="9"/>
        <v>3.0739999999999998</v>
      </c>
      <c r="EC24" s="86">
        <f t="shared" si="9"/>
        <v>0</v>
      </c>
      <c r="ED24" s="499"/>
      <c r="EE24" s="499"/>
      <c r="EF24" s="499"/>
      <c r="EG24" s="499"/>
      <c r="EH24" s="499"/>
      <c r="EI24" s="499"/>
      <c r="EJ24" s="87" t="s">
        <v>148</v>
      </c>
      <c r="EK24" s="87" t="s">
        <v>171</v>
      </c>
      <c r="EL24" s="88">
        <v>1.847</v>
      </c>
      <c r="EM24" s="88">
        <v>0.94950000000000001</v>
      </c>
      <c r="EN24" s="70">
        <f t="shared" si="10"/>
        <v>110.82</v>
      </c>
      <c r="EO24" s="70">
        <f t="shared" si="10"/>
        <v>56.97</v>
      </c>
      <c r="EP24" s="511"/>
      <c r="EQ24" s="511"/>
      <c r="ER24" s="511"/>
      <c r="ES24" s="511"/>
      <c r="ET24" s="511"/>
      <c r="EU24" s="511"/>
      <c r="EV24" s="75" t="s">
        <v>149</v>
      </c>
      <c r="EW24" s="75" t="s">
        <v>171</v>
      </c>
      <c r="EX24" s="76">
        <v>5.6412000000000004</v>
      </c>
      <c r="EY24" s="76">
        <v>9.8783999999999992</v>
      </c>
      <c r="EZ24" s="508"/>
      <c r="FA24" s="508"/>
      <c r="FB24" s="508"/>
      <c r="FC24" s="508"/>
      <c r="FD24" s="508"/>
      <c r="FE24" s="508"/>
      <c r="FF24" s="72" t="s">
        <v>150</v>
      </c>
      <c r="FG24" s="78" t="s">
        <v>171</v>
      </c>
      <c r="FH24" s="89">
        <v>2.6977000000000002</v>
      </c>
      <c r="FI24" s="89">
        <v>1.3285</v>
      </c>
      <c r="FJ24" s="72">
        <f t="shared" si="12"/>
        <v>269.77000000000004</v>
      </c>
      <c r="FK24" s="72">
        <f t="shared" si="12"/>
        <v>132.85</v>
      </c>
      <c r="FL24" s="513"/>
      <c r="FM24" s="513"/>
      <c r="FN24" s="513"/>
      <c r="FO24" s="513"/>
      <c r="FP24" s="513"/>
      <c r="FQ24" s="513"/>
      <c r="FR24" s="29" t="s">
        <v>151</v>
      </c>
      <c r="FS24" s="29" t="s">
        <v>171</v>
      </c>
      <c r="FT24" s="90">
        <v>2.1524000000000001</v>
      </c>
      <c r="FU24" s="90">
        <v>1.0763</v>
      </c>
      <c r="FV24" s="2">
        <f t="shared" si="13"/>
        <v>86.096000000000004</v>
      </c>
      <c r="FW24" s="2">
        <f t="shared" si="13"/>
        <v>43.052</v>
      </c>
      <c r="FX24" s="487"/>
      <c r="FY24" s="487"/>
      <c r="FZ24" s="487"/>
      <c r="GA24" s="487"/>
      <c r="GB24" s="487"/>
      <c r="GC24" s="487"/>
    </row>
    <row r="25" spans="1:185">
      <c r="A25" s="74" t="s">
        <v>135</v>
      </c>
      <c r="B25" s="74">
        <v>31.86</v>
      </c>
      <c r="C25" s="74">
        <v>14.9472</v>
      </c>
      <c r="D25" s="532"/>
      <c r="E25" s="532"/>
      <c r="F25" s="532"/>
      <c r="G25" s="535"/>
      <c r="H25" s="538"/>
      <c r="I25" s="538"/>
      <c r="J25" s="75" t="s">
        <v>136</v>
      </c>
      <c r="K25" s="75" t="s">
        <v>172</v>
      </c>
      <c r="L25" s="76">
        <v>2.4876</v>
      </c>
      <c r="M25" s="76">
        <v>0.39960000000000001</v>
      </c>
      <c r="N25" s="530"/>
      <c r="O25" s="530"/>
      <c r="P25" s="530"/>
      <c r="Q25" s="530"/>
      <c r="R25" s="530"/>
      <c r="S25" s="530"/>
      <c r="T25" s="77" t="s">
        <v>138</v>
      </c>
      <c r="U25" s="77" t="s">
        <v>172</v>
      </c>
      <c r="V25" s="77">
        <v>4.1200000000000001E-2</v>
      </c>
      <c r="W25" s="77">
        <v>0</v>
      </c>
      <c r="X25" s="77">
        <f t="shared" si="0"/>
        <v>2.06</v>
      </c>
      <c r="Y25" s="77">
        <f t="shared" si="0"/>
        <v>0</v>
      </c>
      <c r="Z25" s="528"/>
      <c r="AA25" s="528"/>
      <c r="AB25" s="528"/>
      <c r="AC25" s="528"/>
      <c r="AD25" s="528"/>
      <c r="AE25" s="528"/>
      <c r="AF25" s="78" t="s">
        <v>139</v>
      </c>
      <c r="AG25" s="78" t="s">
        <v>172</v>
      </c>
      <c r="AH25" s="78">
        <v>1.78E-2</v>
      </c>
      <c r="AI25" s="78">
        <v>0</v>
      </c>
      <c r="AJ25" s="72">
        <f t="shared" si="1"/>
        <v>0.89</v>
      </c>
      <c r="AK25" s="72">
        <f t="shared" si="1"/>
        <v>0</v>
      </c>
      <c r="AL25" s="526"/>
      <c r="AM25" s="526"/>
      <c r="AN25" s="526"/>
      <c r="AO25" s="526"/>
      <c r="AP25" s="526"/>
      <c r="AQ25" s="526"/>
      <c r="AR25" s="79" t="s">
        <v>140</v>
      </c>
      <c r="AS25" s="79" t="s">
        <v>172</v>
      </c>
      <c r="AT25" s="91">
        <v>0.60040000000000004</v>
      </c>
      <c r="AU25" s="91">
        <v>0.38040000000000002</v>
      </c>
      <c r="AV25" s="80">
        <f t="shared" si="2"/>
        <v>90.06</v>
      </c>
      <c r="AW25" s="80">
        <f t="shared" si="2"/>
        <v>57.06</v>
      </c>
      <c r="AX25" s="524"/>
      <c r="AY25" s="524"/>
      <c r="AZ25" s="524"/>
      <c r="BA25" s="524"/>
      <c r="BB25" s="524"/>
      <c r="BC25" s="524"/>
      <c r="BD25" s="81" t="s">
        <v>141</v>
      </c>
      <c r="BE25" s="81" t="s">
        <v>172</v>
      </c>
      <c r="BF25" s="81">
        <v>0.95240000000000002</v>
      </c>
      <c r="BG25" s="81">
        <v>0.7228</v>
      </c>
      <c r="BH25" s="59">
        <f t="shared" si="3"/>
        <v>95.240000000000009</v>
      </c>
      <c r="BI25" s="59">
        <f t="shared" si="3"/>
        <v>72.28</v>
      </c>
      <c r="BJ25" s="502"/>
      <c r="BK25" s="502"/>
      <c r="BL25" s="502"/>
      <c r="BM25" s="502"/>
      <c r="BN25" s="502"/>
      <c r="BO25" s="502"/>
      <c r="BP25" s="83" t="s">
        <v>142</v>
      </c>
      <c r="BQ25" s="83" t="s">
        <v>172</v>
      </c>
      <c r="BR25" s="83">
        <v>4.2299999999999997E-2</v>
      </c>
      <c r="BS25" s="83">
        <v>1.2699999999999999E-2</v>
      </c>
      <c r="BT25" s="61">
        <f t="shared" si="4"/>
        <v>50.76</v>
      </c>
      <c r="BU25" s="61">
        <f t="shared" si="4"/>
        <v>15.24</v>
      </c>
      <c r="BV25" s="521"/>
      <c r="BW25" s="521"/>
      <c r="BX25" s="521"/>
      <c r="BY25" s="521"/>
      <c r="BZ25" s="521"/>
      <c r="CA25" s="521"/>
      <c r="CB25" s="39" t="s">
        <v>143</v>
      </c>
      <c r="CC25" s="39" t="s">
        <v>172</v>
      </c>
      <c r="CD25" s="39">
        <v>0.26590000000000003</v>
      </c>
      <c r="CE25" s="39">
        <v>7.2900000000000006E-2</v>
      </c>
      <c r="CF25" s="41">
        <f t="shared" si="5"/>
        <v>638.16000000000008</v>
      </c>
      <c r="CG25" s="41">
        <f t="shared" si="5"/>
        <v>174.96</v>
      </c>
      <c r="CH25" s="518"/>
      <c r="CI25" s="518"/>
      <c r="CJ25" s="518"/>
      <c r="CK25" s="518"/>
      <c r="CL25" s="518"/>
      <c r="CM25" s="518"/>
      <c r="CN25" s="84" t="s">
        <v>144</v>
      </c>
      <c r="CO25" s="84" t="s">
        <v>172</v>
      </c>
      <c r="CP25" s="84">
        <v>0.32769999999999999</v>
      </c>
      <c r="CQ25" s="84">
        <v>0.18809999999999999</v>
      </c>
      <c r="CR25" s="64">
        <f t="shared" si="6"/>
        <v>393.24</v>
      </c>
      <c r="CS25" s="64">
        <f t="shared" si="6"/>
        <v>225.72</v>
      </c>
      <c r="CT25" s="515"/>
      <c r="CU25" s="515"/>
      <c r="CV25" s="515"/>
      <c r="CW25" s="515"/>
      <c r="CX25" s="515"/>
      <c r="CY25" s="515"/>
      <c r="CZ25" s="85" t="s">
        <v>145</v>
      </c>
      <c r="DA25" s="85" t="s">
        <v>172</v>
      </c>
      <c r="DB25" s="85">
        <v>4.8399999999999999E-2</v>
      </c>
      <c r="DC25" s="85">
        <v>1.6000000000000001E-3</v>
      </c>
      <c r="DD25" s="66">
        <f t="shared" si="7"/>
        <v>1.452</v>
      </c>
      <c r="DE25" s="66">
        <f t="shared" si="7"/>
        <v>4.8000000000000001E-2</v>
      </c>
      <c r="DF25" s="505"/>
      <c r="DG25" s="505"/>
      <c r="DH25" s="505"/>
      <c r="DI25" s="505"/>
      <c r="DJ25" s="505"/>
      <c r="DK25" s="505"/>
      <c r="DL25" s="81" t="s">
        <v>146</v>
      </c>
      <c r="DM25" s="81" t="s">
        <v>172</v>
      </c>
      <c r="DN25" s="82">
        <v>0.2833</v>
      </c>
      <c r="DO25" s="82">
        <v>0</v>
      </c>
      <c r="DP25" s="81">
        <f t="shared" si="8"/>
        <v>14.164999999999999</v>
      </c>
      <c r="DQ25" s="81">
        <f t="shared" si="8"/>
        <v>0</v>
      </c>
      <c r="DR25" s="502"/>
      <c r="DS25" s="502"/>
      <c r="DT25" s="502"/>
      <c r="DU25" s="502"/>
      <c r="DV25" s="502"/>
      <c r="DW25" s="502"/>
      <c r="DX25" s="86" t="s">
        <v>147</v>
      </c>
      <c r="DY25" s="86" t="s">
        <v>172</v>
      </c>
      <c r="DZ25" s="86">
        <v>0.34560000000000002</v>
      </c>
      <c r="EA25" s="86">
        <v>0</v>
      </c>
      <c r="EB25" s="86">
        <f t="shared" si="9"/>
        <v>6.9120000000000008</v>
      </c>
      <c r="EC25" s="86">
        <f t="shared" si="9"/>
        <v>0</v>
      </c>
      <c r="ED25" s="499"/>
      <c r="EE25" s="499"/>
      <c r="EF25" s="499"/>
      <c r="EG25" s="499"/>
      <c r="EH25" s="499"/>
      <c r="EI25" s="499"/>
      <c r="EJ25" s="87" t="s">
        <v>148</v>
      </c>
      <c r="EK25" s="87" t="s">
        <v>172</v>
      </c>
      <c r="EL25" s="88">
        <v>2.1316999999999999</v>
      </c>
      <c r="EM25" s="88">
        <v>1.0669</v>
      </c>
      <c r="EN25" s="70">
        <f t="shared" si="10"/>
        <v>127.902</v>
      </c>
      <c r="EO25" s="70">
        <f t="shared" si="10"/>
        <v>64.013999999999996</v>
      </c>
      <c r="EP25" s="511"/>
      <c r="EQ25" s="511"/>
      <c r="ER25" s="511"/>
      <c r="ES25" s="511"/>
      <c r="ET25" s="511"/>
      <c r="EU25" s="511"/>
      <c r="EV25" s="75" t="s">
        <v>149</v>
      </c>
      <c r="EW25" s="75" t="s">
        <v>172</v>
      </c>
      <c r="EX25" s="75">
        <v>0</v>
      </c>
      <c r="EY25" s="76">
        <v>0</v>
      </c>
      <c r="EZ25" s="508"/>
      <c r="FA25" s="508"/>
      <c r="FB25" s="508"/>
      <c r="FC25" s="508"/>
      <c r="FD25" s="508"/>
      <c r="FE25" s="508"/>
      <c r="FF25" s="72" t="s">
        <v>150</v>
      </c>
      <c r="FG25" s="78" t="s">
        <v>172</v>
      </c>
      <c r="FH25" s="89">
        <v>2.6850000000000001</v>
      </c>
      <c r="FI25" s="89">
        <v>1.3431</v>
      </c>
      <c r="FJ25" s="72">
        <f t="shared" si="12"/>
        <v>268.5</v>
      </c>
      <c r="FK25" s="72">
        <f t="shared" si="12"/>
        <v>134.31</v>
      </c>
      <c r="FL25" s="513"/>
      <c r="FM25" s="513"/>
      <c r="FN25" s="513"/>
      <c r="FO25" s="513"/>
      <c r="FP25" s="513"/>
      <c r="FQ25" s="513"/>
      <c r="FR25" s="29" t="s">
        <v>151</v>
      </c>
      <c r="FS25" s="29" t="s">
        <v>172</v>
      </c>
      <c r="FT25" s="90">
        <v>1.9321999999999999</v>
      </c>
      <c r="FU25" s="2">
        <v>0.88829999999999998</v>
      </c>
      <c r="FV25" s="2">
        <f t="shared" si="13"/>
        <v>77.287999999999997</v>
      </c>
      <c r="FW25" s="2">
        <f t="shared" si="13"/>
        <v>35.531999999999996</v>
      </c>
      <c r="FX25" s="487"/>
      <c r="FY25" s="487"/>
      <c r="FZ25" s="487"/>
      <c r="GA25" s="487"/>
      <c r="GB25" s="487"/>
      <c r="GC25" s="487"/>
    </row>
    <row r="26" spans="1:185">
      <c r="A26" s="74" t="s">
        <v>135</v>
      </c>
      <c r="B26" s="74">
        <v>31.2624</v>
      </c>
      <c r="C26" s="74">
        <v>15.2424</v>
      </c>
      <c r="D26" s="532"/>
      <c r="E26" s="532"/>
      <c r="F26" s="532"/>
      <c r="G26" s="535"/>
      <c r="H26" s="538"/>
      <c r="I26" s="538"/>
      <c r="J26" s="75" t="s">
        <v>136</v>
      </c>
      <c r="K26" s="75" t="s">
        <v>173</v>
      </c>
      <c r="L26" s="76">
        <v>2.6027999999999998</v>
      </c>
      <c r="M26" s="76">
        <v>5.04E-2</v>
      </c>
      <c r="N26" s="530"/>
      <c r="O26" s="530"/>
      <c r="P26" s="530"/>
      <c r="Q26" s="530"/>
      <c r="R26" s="530"/>
      <c r="S26" s="530"/>
      <c r="T26" s="77" t="s">
        <v>138</v>
      </c>
      <c r="U26" s="77" t="s">
        <v>173</v>
      </c>
      <c r="V26" s="77">
        <v>7.9500000000000001E-2</v>
      </c>
      <c r="W26" s="77">
        <v>0</v>
      </c>
      <c r="X26" s="77">
        <f t="shared" si="0"/>
        <v>3.9750000000000001</v>
      </c>
      <c r="Y26" s="77">
        <f t="shared" si="0"/>
        <v>0</v>
      </c>
      <c r="Z26" s="528"/>
      <c r="AA26" s="528"/>
      <c r="AB26" s="528"/>
      <c r="AC26" s="528"/>
      <c r="AD26" s="528"/>
      <c r="AE26" s="528"/>
      <c r="AF26" s="78" t="s">
        <v>139</v>
      </c>
      <c r="AG26" s="78" t="s">
        <v>173</v>
      </c>
      <c r="AH26" s="78">
        <v>4.65E-2</v>
      </c>
      <c r="AI26" s="78">
        <v>0</v>
      </c>
      <c r="AJ26" s="72">
        <f t="shared" si="1"/>
        <v>2.3250000000000002</v>
      </c>
      <c r="AK26" s="72">
        <f t="shared" si="1"/>
        <v>0</v>
      </c>
      <c r="AL26" s="526"/>
      <c r="AM26" s="526"/>
      <c r="AN26" s="526"/>
      <c r="AO26" s="526"/>
      <c r="AP26" s="526"/>
      <c r="AQ26" s="526"/>
      <c r="AR26" s="79" t="s">
        <v>140</v>
      </c>
      <c r="AS26" s="79" t="s">
        <v>173</v>
      </c>
      <c r="AT26" s="91">
        <v>0.69520000000000004</v>
      </c>
      <c r="AU26" s="91">
        <v>0.46479999999999999</v>
      </c>
      <c r="AV26" s="80">
        <f t="shared" si="2"/>
        <v>104.28</v>
      </c>
      <c r="AW26" s="80">
        <f t="shared" si="2"/>
        <v>69.72</v>
      </c>
      <c r="AX26" s="524"/>
      <c r="AY26" s="524"/>
      <c r="AZ26" s="524"/>
      <c r="BA26" s="524"/>
      <c r="BB26" s="524"/>
      <c r="BC26" s="524"/>
      <c r="BD26" s="81" t="s">
        <v>141</v>
      </c>
      <c r="BE26" s="81" t="s">
        <v>173</v>
      </c>
      <c r="BF26" s="81">
        <v>0.94420000000000004</v>
      </c>
      <c r="BG26" s="81">
        <v>0.72670000000000001</v>
      </c>
      <c r="BH26" s="59">
        <f t="shared" si="3"/>
        <v>94.42</v>
      </c>
      <c r="BI26" s="59">
        <f t="shared" si="3"/>
        <v>72.67</v>
      </c>
      <c r="BJ26" s="502"/>
      <c r="BK26" s="502"/>
      <c r="BL26" s="502"/>
      <c r="BM26" s="502"/>
      <c r="BN26" s="502"/>
      <c r="BO26" s="502"/>
      <c r="BP26" s="83" t="s">
        <v>142</v>
      </c>
      <c r="BQ26" s="83" t="s">
        <v>173</v>
      </c>
      <c r="BR26" s="83">
        <v>6.0400000000000002E-2</v>
      </c>
      <c r="BS26" s="83">
        <v>2.2499999999999999E-2</v>
      </c>
      <c r="BT26" s="61">
        <f t="shared" si="4"/>
        <v>72.48</v>
      </c>
      <c r="BU26" s="61">
        <f t="shared" si="4"/>
        <v>27</v>
      </c>
      <c r="BV26" s="521"/>
      <c r="BW26" s="521"/>
      <c r="BX26" s="521"/>
      <c r="BY26" s="521"/>
      <c r="BZ26" s="521"/>
      <c r="CA26" s="521"/>
      <c r="CB26" s="39" t="s">
        <v>143</v>
      </c>
      <c r="CC26" s="39" t="s">
        <v>173</v>
      </c>
      <c r="CD26" s="39">
        <v>0.2394</v>
      </c>
      <c r="CE26" s="39">
        <v>7.1099999999999997E-2</v>
      </c>
      <c r="CF26" s="41">
        <f t="shared" si="5"/>
        <v>574.56000000000006</v>
      </c>
      <c r="CG26" s="41">
        <f t="shared" si="5"/>
        <v>170.64</v>
      </c>
      <c r="CH26" s="518"/>
      <c r="CI26" s="518"/>
      <c r="CJ26" s="518"/>
      <c r="CK26" s="518"/>
      <c r="CL26" s="518"/>
      <c r="CM26" s="518"/>
      <c r="CN26" s="84" t="s">
        <v>144</v>
      </c>
      <c r="CO26" s="84" t="s">
        <v>173</v>
      </c>
      <c r="CP26" s="84">
        <v>0.32319999999999999</v>
      </c>
      <c r="CQ26" s="84">
        <v>0.18</v>
      </c>
      <c r="CR26" s="64">
        <f t="shared" si="6"/>
        <v>387.84</v>
      </c>
      <c r="CS26" s="64">
        <f t="shared" si="6"/>
        <v>216</v>
      </c>
      <c r="CT26" s="515"/>
      <c r="CU26" s="515"/>
      <c r="CV26" s="515"/>
      <c r="CW26" s="515"/>
      <c r="CX26" s="515"/>
      <c r="CY26" s="515"/>
      <c r="CZ26" s="85" t="s">
        <v>145</v>
      </c>
      <c r="DA26" s="85" t="s">
        <v>173</v>
      </c>
      <c r="DB26" s="85">
        <v>4.8599999999999997E-2</v>
      </c>
      <c r="DC26" s="85">
        <v>1.8E-3</v>
      </c>
      <c r="DD26" s="66">
        <f t="shared" si="7"/>
        <v>1.458</v>
      </c>
      <c r="DE26" s="66">
        <f t="shared" si="7"/>
        <v>5.3999999999999999E-2</v>
      </c>
      <c r="DF26" s="505"/>
      <c r="DG26" s="505"/>
      <c r="DH26" s="505"/>
      <c r="DI26" s="505"/>
      <c r="DJ26" s="505"/>
      <c r="DK26" s="505"/>
      <c r="DL26" s="81" t="s">
        <v>146</v>
      </c>
      <c r="DM26" s="81" t="s">
        <v>173</v>
      </c>
      <c r="DN26" s="82">
        <v>0.1996</v>
      </c>
      <c r="DO26" s="82">
        <v>0</v>
      </c>
      <c r="DP26" s="81">
        <f t="shared" si="8"/>
        <v>9.98</v>
      </c>
      <c r="DQ26" s="81">
        <f t="shared" si="8"/>
        <v>0</v>
      </c>
      <c r="DR26" s="502"/>
      <c r="DS26" s="502"/>
      <c r="DT26" s="502"/>
      <c r="DU26" s="502"/>
      <c r="DV26" s="502"/>
      <c r="DW26" s="502"/>
      <c r="DX26" s="86" t="s">
        <v>147</v>
      </c>
      <c r="DY26" s="86" t="s">
        <v>173</v>
      </c>
      <c r="DZ26" s="86">
        <v>0.29670000000000002</v>
      </c>
      <c r="EA26" s="86">
        <v>0</v>
      </c>
      <c r="EB26" s="86">
        <f t="shared" si="9"/>
        <v>5.9340000000000002</v>
      </c>
      <c r="EC26" s="86">
        <f t="shared" si="9"/>
        <v>0</v>
      </c>
      <c r="ED26" s="499"/>
      <c r="EE26" s="499"/>
      <c r="EF26" s="499"/>
      <c r="EG26" s="499"/>
      <c r="EH26" s="499"/>
      <c r="EI26" s="499"/>
      <c r="EJ26" s="87" t="s">
        <v>148</v>
      </c>
      <c r="EK26" s="87" t="s">
        <v>173</v>
      </c>
      <c r="EL26" s="88">
        <v>2.2806999999999999</v>
      </c>
      <c r="EM26" s="88">
        <v>1.1886000000000001</v>
      </c>
      <c r="EN26" s="70">
        <f t="shared" si="10"/>
        <v>136.84199999999998</v>
      </c>
      <c r="EO26" s="70">
        <f t="shared" si="10"/>
        <v>71.316000000000003</v>
      </c>
      <c r="EP26" s="511"/>
      <c r="EQ26" s="511"/>
      <c r="ER26" s="511"/>
      <c r="ES26" s="511"/>
      <c r="ET26" s="511"/>
      <c r="EU26" s="511"/>
      <c r="EV26" s="75" t="s">
        <v>149</v>
      </c>
      <c r="EW26" s="75" t="s">
        <v>173</v>
      </c>
      <c r="EX26" s="75">
        <v>0</v>
      </c>
      <c r="EY26" s="76">
        <v>0</v>
      </c>
      <c r="EZ26" s="508"/>
      <c r="FA26" s="508"/>
      <c r="FB26" s="508"/>
      <c r="FC26" s="508"/>
      <c r="FD26" s="508"/>
      <c r="FE26" s="508"/>
      <c r="FF26" s="72" t="s">
        <v>150</v>
      </c>
      <c r="FG26" s="78" t="s">
        <v>173</v>
      </c>
      <c r="FH26" s="89">
        <v>2.6903999999999999</v>
      </c>
      <c r="FI26" s="89">
        <v>1.3166</v>
      </c>
      <c r="FJ26" s="72">
        <f t="shared" si="12"/>
        <v>269.03999999999996</v>
      </c>
      <c r="FK26" s="72">
        <f t="shared" si="12"/>
        <v>131.66</v>
      </c>
      <c r="FL26" s="513"/>
      <c r="FM26" s="513"/>
      <c r="FN26" s="513"/>
      <c r="FO26" s="513"/>
      <c r="FP26" s="513"/>
      <c r="FQ26" s="513"/>
      <c r="FR26" s="29" t="s">
        <v>151</v>
      </c>
      <c r="FS26" s="29" t="s">
        <v>173</v>
      </c>
      <c r="FT26" s="90">
        <v>1.9007000000000001</v>
      </c>
      <c r="FU26" s="2">
        <v>0.84719999999999995</v>
      </c>
      <c r="FV26" s="2">
        <f t="shared" si="13"/>
        <v>76.028000000000006</v>
      </c>
      <c r="FW26" s="2">
        <f t="shared" si="13"/>
        <v>33.887999999999998</v>
      </c>
      <c r="FX26" s="487"/>
      <c r="FY26" s="487"/>
      <c r="FZ26" s="487"/>
      <c r="GA26" s="487"/>
      <c r="GB26" s="487"/>
      <c r="GC26" s="487"/>
    </row>
    <row r="27" spans="1:185">
      <c r="A27" s="74" t="s">
        <v>135</v>
      </c>
      <c r="B27" s="74">
        <v>30.211200000000002</v>
      </c>
      <c r="C27" s="74">
        <v>15.39</v>
      </c>
      <c r="D27" s="532"/>
      <c r="E27" s="532"/>
      <c r="F27" s="532"/>
      <c r="G27" s="535"/>
      <c r="H27" s="538"/>
      <c r="I27" s="538"/>
      <c r="J27" s="75" t="s">
        <v>136</v>
      </c>
      <c r="K27" s="75" t="s">
        <v>174</v>
      </c>
      <c r="L27" s="76">
        <v>3.5964</v>
      </c>
      <c r="M27" s="76">
        <v>0</v>
      </c>
      <c r="N27" s="530"/>
      <c r="O27" s="530"/>
      <c r="P27" s="530"/>
      <c r="Q27" s="530"/>
      <c r="R27" s="530"/>
      <c r="S27" s="530"/>
      <c r="T27" s="77" t="s">
        <v>138</v>
      </c>
      <c r="U27" s="77" t="s">
        <v>174</v>
      </c>
      <c r="V27" s="77">
        <v>8.3799999999999999E-2</v>
      </c>
      <c r="W27" s="77">
        <v>0</v>
      </c>
      <c r="X27" s="77">
        <f t="shared" si="0"/>
        <v>4.1900000000000004</v>
      </c>
      <c r="Y27" s="77">
        <f t="shared" si="0"/>
        <v>0</v>
      </c>
      <c r="Z27" s="528"/>
      <c r="AA27" s="528"/>
      <c r="AB27" s="528"/>
      <c r="AC27" s="528"/>
      <c r="AD27" s="528"/>
      <c r="AE27" s="528"/>
      <c r="AF27" s="78" t="s">
        <v>139</v>
      </c>
      <c r="AG27" s="78" t="s">
        <v>174</v>
      </c>
      <c r="AH27" s="78">
        <v>4.82E-2</v>
      </c>
      <c r="AI27" s="78">
        <v>0</v>
      </c>
      <c r="AJ27" s="72">
        <f t="shared" si="1"/>
        <v>2.41</v>
      </c>
      <c r="AK27" s="72">
        <f t="shared" si="1"/>
        <v>0</v>
      </c>
      <c r="AL27" s="526"/>
      <c r="AM27" s="526"/>
      <c r="AN27" s="526"/>
      <c r="AO27" s="526"/>
      <c r="AP27" s="526"/>
      <c r="AQ27" s="526"/>
      <c r="AR27" s="79" t="s">
        <v>140</v>
      </c>
      <c r="AS27" s="79" t="s">
        <v>174</v>
      </c>
      <c r="AT27" s="91">
        <v>0.6341</v>
      </c>
      <c r="AU27" s="91">
        <v>0.42259999999999998</v>
      </c>
      <c r="AV27" s="80">
        <f t="shared" si="2"/>
        <v>95.114999999999995</v>
      </c>
      <c r="AW27" s="80">
        <f t="shared" si="2"/>
        <v>63.389999999999993</v>
      </c>
      <c r="AX27" s="524"/>
      <c r="AY27" s="524"/>
      <c r="AZ27" s="524"/>
      <c r="BA27" s="524"/>
      <c r="BB27" s="524"/>
      <c r="BC27" s="524"/>
      <c r="BD27" s="81" t="s">
        <v>141</v>
      </c>
      <c r="BE27" s="81" t="s">
        <v>174</v>
      </c>
      <c r="BF27" s="81">
        <v>0.99360000000000004</v>
      </c>
      <c r="BG27" s="81">
        <v>0.75990000000000002</v>
      </c>
      <c r="BH27" s="59">
        <f t="shared" si="3"/>
        <v>99.36</v>
      </c>
      <c r="BI27" s="59">
        <f t="shared" si="3"/>
        <v>75.990000000000009</v>
      </c>
      <c r="BJ27" s="502"/>
      <c r="BK27" s="502"/>
      <c r="BL27" s="502"/>
      <c r="BM27" s="502"/>
      <c r="BN27" s="502"/>
      <c r="BO27" s="502"/>
      <c r="BP27" s="83" t="s">
        <v>142</v>
      </c>
      <c r="BQ27" s="83" t="s">
        <v>174</v>
      </c>
      <c r="BR27" s="83">
        <v>4.02E-2</v>
      </c>
      <c r="BS27" s="83">
        <v>1.0800000000000001E-2</v>
      </c>
      <c r="BT27" s="61">
        <f t="shared" si="4"/>
        <v>48.24</v>
      </c>
      <c r="BU27" s="61">
        <f t="shared" si="4"/>
        <v>12.96</v>
      </c>
      <c r="BV27" s="521"/>
      <c r="BW27" s="521"/>
      <c r="BX27" s="521"/>
      <c r="BY27" s="521"/>
      <c r="BZ27" s="521"/>
      <c r="CA27" s="521"/>
      <c r="CB27" s="39" t="s">
        <v>143</v>
      </c>
      <c r="CC27" s="39" t="s">
        <v>174</v>
      </c>
      <c r="CD27" s="39">
        <v>0.249</v>
      </c>
      <c r="CE27" s="39">
        <v>6.9800000000000001E-2</v>
      </c>
      <c r="CF27" s="41">
        <f t="shared" si="5"/>
        <v>597.6</v>
      </c>
      <c r="CG27" s="41">
        <f t="shared" si="5"/>
        <v>167.52</v>
      </c>
      <c r="CH27" s="518"/>
      <c r="CI27" s="518"/>
      <c r="CJ27" s="518"/>
      <c r="CK27" s="518"/>
      <c r="CL27" s="518"/>
      <c r="CM27" s="518"/>
      <c r="CN27" s="84" t="s">
        <v>144</v>
      </c>
      <c r="CO27" s="84" t="s">
        <v>174</v>
      </c>
      <c r="CP27" s="84">
        <v>0.31730000000000003</v>
      </c>
      <c r="CQ27" s="84">
        <v>0.1709</v>
      </c>
      <c r="CR27" s="64">
        <f t="shared" si="6"/>
        <v>380.76000000000005</v>
      </c>
      <c r="CS27" s="64">
        <f t="shared" si="6"/>
        <v>205.07999999999998</v>
      </c>
      <c r="CT27" s="515"/>
      <c r="CU27" s="515"/>
      <c r="CV27" s="515"/>
      <c r="CW27" s="515"/>
      <c r="CX27" s="515"/>
      <c r="CY27" s="515"/>
      <c r="CZ27" s="85" t="s">
        <v>145</v>
      </c>
      <c r="DA27" s="85" t="s">
        <v>174</v>
      </c>
      <c r="DB27" s="85">
        <v>4.6800000000000001E-2</v>
      </c>
      <c r="DC27" s="85">
        <v>0</v>
      </c>
      <c r="DD27" s="66">
        <f t="shared" si="7"/>
        <v>1.4040000000000001</v>
      </c>
      <c r="DE27" s="66">
        <f t="shared" si="7"/>
        <v>0</v>
      </c>
      <c r="DF27" s="505"/>
      <c r="DG27" s="505"/>
      <c r="DH27" s="505"/>
      <c r="DI27" s="505"/>
      <c r="DJ27" s="505"/>
      <c r="DK27" s="505"/>
      <c r="DL27" s="81" t="s">
        <v>146</v>
      </c>
      <c r="DM27" s="81" t="s">
        <v>174</v>
      </c>
      <c r="DN27" s="82">
        <v>0.48349999999999999</v>
      </c>
      <c r="DO27" s="82">
        <v>0</v>
      </c>
      <c r="DP27" s="81">
        <f t="shared" si="8"/>
        <v>24.175000000000001</v>
      </c>
      <c r="DQ27" s="81">
        <f t="shared" si="8"/>
        <v>0</v>
      </c>
      <c r="DR27" s="502"/>
      <c r="DS27" s="502"/>
      <c r="DT27" s="502"/>
      <c r="DU27" s="502"/>
      <c r="DV27" s="502"/>
      <c r="DW27" s="502"/>
      <c r="DX27" s="86" t="s">
        <v>147</v>
      </c>
      <c r="DY27" s="86" t="s">
        <v>174</v>
      </c>
      <c r="DZ27" s="86">
        <v>0.33539999999999998</v>
      </c>
      <c r="EA27" s="86">
        <v>0</v>
      </c>
      <c r="EB27" s="86">
        <f t="shared" si="9"/>
        <v>6.7079999999999993</v>
      </c>
      <c r="EC27" s="86">
        <f t="shared" si="9"/>
        <v>0</v>
      </c>
      <c r="ED27" s="499"/>
      <c r="EE27" s="499"/>
      <c r="EF27" s="499"/>
      <c r="EG27" s="499"/>
      <c r="EH27" s="499"/>
      <c r="EI27" s="499"/>
      <c r="EJ27" s="87" t="s">
        <v>148</v>
      </c>
      <c r="EK27" s="87" t="s">
        <v>174</v>
      </c>
      <c r="EL27" s="88">
        <v>2.0366</v>
      </c>
      <c r="EM27" s="88">
        <v>1.0472999999999999</v>
      </c>
      <c r="EN27" s="70">
        <f t="shared" si="10"/>
        <v>122.196</v>
      </c>
      <c r="EO27" s="70">
        <f t="shared" si="10"/>
        <v>62.837999999999994</v>
      </c>
      <c r="EP27" s="511"/>
      <c r="EQ27" s="511"/>
      <c r="ER27" s="511"/>
      <c r="ES27" s="511"/>
      <c r="ET27" s="511"/>
      <c r="EU27" s="511"/>
      <c r="EV27" s="75" t="s">
        <v>149</v>
      </c>
      <c r="EW27" s="75" t="s">
        <v>174</v>
      </c>
      <c r="EX27" s="75">
        <v>0</v>
      </c>
      <c r="EY27" s="76">
        <v>0</v>
      </c>
      <c r="EZ27" s="508"/>
      <c r="FA27" s="508"/>
      <c r="FB27" s="508"/>
      <c r="FC27" s="508"/>
      <c r="FD27" s="508"/>
      <c r="FE27" s="508"/>
      <c r="FF27" s="72" t="s">
        <v>150</v>
      </c>
      <c r="FG27" s="78" t="s">
        <v>174</v>
      </c>
      <c r="FH27" s="89">
        <v>2.7361</v>
      </c>
      <c r="FI27" s="89">
        <v>1.3673999999999999</v>
      </c>
      <c r="FJ27" s="72">
        <f t="shared" si="12"/>
        <v>273.61</v>
      </c>
      <c r="FK27" s="72">
        <f t="shared" si="12"/>
        <v>136.74</v>
      </c>
      <c r="FL27" s="513"/>
      <c r="FM27" s="513"/>
      <c r="FN27" s="513"/>
      <c r="FO27" s="513"/>
      <c r="FP27" s="513"/>
      <c r="FQ27" s="513"/>
      <c r="FR27" s="29" t="s">
        <v>151</v>
      </c>
      <c r="FS27" s="29" t="s">
        <v>174</v>
      </c>
      <c r="FT27" s="90">
        <v>1.7662</v>
      </c>
      <c r="FU27" s="2">
        <v>0.83340000000000003</v>
      </c>
      <c r="FV27" s="2">
        <f t="shared" si="13"/>
        <v>70.647999999999996</v>
      </c>
      <c r="FW27" s="2">
        <f t="shared" si="13"/>
        <v>33.335999999999999</v>
      </c>
      <c r="FX27" s="487"/>
      <c r="FY27" s="487"/>
      <c r="FZ27" s="487"/>
      <c r="GA27" s="487"/>
      <c r="GB27" s="487"/>
      <c r="GC27" s="487"/>
    </row>
    <row r="28" spans="1:185">
      <c r="A28" s="74" t="s">
        <v>135</v>
      </c>
      <c r="B28" s="74">
        <v>29.988</v>
      </c>
      <c r="C28" s="74">
        <v>15.552</v>
      </c>
      <c r="D28" s="533"/>
      <c r="E28" s="533"/>
      <c r="F28" s="533"/>
      <c r="G28" s="536"/>
      <c r="H28" s="539"/>
      <c r="I28" s="539"/>
      <c r="J28" s="75" t="s">
        <v>136</v>
      </c>
      <c r="K28" s="75" t="s">
        <v>175</v>
      </c>
      <c r="L28" s="76">
        <v>2.5775999999999999</v>
      </c>
      <c r="M28" s="76">
        <v>0</v>
      </c>
      <c r="N28" s="530"/>
      <c r="O28" s="530"/>
      <c r="P28" s="530"/>
      <c r="Q28" s="530"/>
      <c r="R28" s="530"/>
      <c r="S28" s="530"/>
      <c r="T28" s="77" t="s">
        <v>138</v>
      </c>
      <c r="U28" s="77" t="s">
        <v>175</v>
      </c>
      <c r="V28" s="77">
        <v>7.5700000000000003E-2</v>
      </c>
      <c r="W28" s="77">
        <v>0</v>
      </c>
      <c r="X28" s="77">
        <f t="shared" si="0"/>
        <v>3.7850000000000001</v>
      </c>
      <c r="Y28" s="77">
        <f t="shared" si="0"/>
        <v>0</v>
      </c>
      <c r="Z28" s="528"/>
      <c r="AA28" s="528"/>
      <c r="AB28" s="528"/>
      <c r="AC28" s="528"/>
      <c r="AD28" s="528"/>
      <c r="AE28" s="528"/>
      <c r="AF28" s="78" t="s">
        <v>139</v>
      </c>
      <c r="AG28" s="78" t="s">
        <v>175</v>
      </c>
      <c r="AH28" s="78">
        <v>3.9300000000000002E-2</v>
      </c>
      <c r="AI28" s="78">
        <v>0</v>
      </c>
      <c r="AJ28" s="72">
        <f t="shared" si="1"/>
        <v>1.9650000000000001</v>
      </c>
      <c r="AK28" s="72">
        <f t="shared" si="1"/>
        <v>0</v>
      </c>
      <c r="AL28" s="526"/>
      <c r="AM28" s="526"/>
      <c r="AN28" s="526"/>
      <c r="AO28" s="526"/>
      <c r="AP28" s="526"/>
      <c r="AQ28" s="526"/>
      <c r="AR28" s="79" t="s">
        <v>140</v>
      </c>
      <c r="AS28" s="79" t="s">
        <v>175</v>
      </c>
      <c r="AT28" s="91">
        <v>0.60799999999999998</v>
      </c>
      <c r="AU28" s="91">
        <v>0.433</v>
      </c>
      <c r="AV28" s="80">
        <f t="shared" si="2"/>
        <v>91.2</v>
      </c>
      <c r="AW28" s="80">
        <f t="shared" si="2"/>
        <v>64.95</v>
      </c>
      <c r="AX28" s="524"/>
      <c r="AY28" s="524"/>
      <c r="AZ28" s="524"/>
      <c r="BA28" s="524"/>
      <c r="BB28" s="524"/>
      <c r="BC28" s="524"/>
      <c r="BD28" s="81" t="s">
        <v>141</v>
      </c>
      <c r="BE28" s="81" t="s">
        <v>175</v>
      </c>
      <c r="BF28" s="81">
        <v>0.94950000000000001</v>
      </c>
      <c r="BG28" s="81">
        <v>0.7167</v>
      </c>
      <c r="BH28" s="59">
        <f t="shared" si="3"/>
        <v>94.95</v>
      </c>
      <c r="BI28" s="59">
        <f t="shared" si="3"/>
        <v>71.67</v>
      </c>
      <c r="BJ28" s="503"/>
      <c r="BK28" s="503"/>
      <c r="BL28" s="503"/>
      <c r="BM28" s="503"/>
      <c r="BN28" s="503"/>
      <c r="BO28" s="503"/>
      <c r="BP28" s="83" t="s">
        <v>142</v>
      </c>
      <c r="BQ28" s="83" t="s">
        <v>175</v>
      </c>
      <c r="BR28" s="83">
        <v>3.8899999999999997E-2</v>
      </c>
      <c r="BS28" s="83">
        <v>8.2000000000000007E-3</v>
      </c>
      <c r="BT28" s="61">
        <f t="shared" si="4"/>
        <v>46.68</v>
      </c>
      <c r="BU28" s="61">
        <f t="shared" si="4"/>
        <v>9.8400000000000016</v>
      </c>
      <c r="BV28" s="522"/>
      <c r="BW28" s="522"/>
      <c r="BX28" s="522"/>
      <c r="BY28" s="522"/>
      <c r="BZ28" s="522"/>
      <c r="CA28" s="522"/>
      <c r="CB28" s="39" t="s">
        <v>143</v>
      </c>
      <c r="CC28" s="39" t="s">
        <v>175</v>
      </c>
      <c r="CD28" s="39">
        <v>0.2387</v>
      </c>
      <c r="CE28" s="39">
        <v>6.7799999999999999E-2</v>
      </c>
      <c r="CF28" s="41">
        <f t="shared" si="5"/>
        <v>572.88</v>
      </c>
      <c r="CG28" s="41">
        <f t="shared" si="5"/>
        <v>162.72</v>
      </c>
      <c r="CH28" s="519"/>
      <c r="CI28" s="519"/>
      <c r="CJ28" s="519"/>
      <c r="CK28" s="519"/>
      <c r="CL28" s="519"/>
      <c r="CM28" s="519"/>
      <c r="CN28" s="84" t="s">
        <v>144</v>
      </c>
      <c r="CO28" s="84" t="s">
        <v>175</v>
      </c>
      <c r="CP28" s="84">
        <v>0.31330000000000002</v>
      </c>
      <c r="CQ28" s="84">
        <v>0.1797</v>
      </c>
      <c r="CR28" s="64">
        <f t="shared" si="6"/>
        <v>375.96000000000004</v>
      </c>
      <c r="CS28" s="64">
        <f t="shared" si="6"/>
        <v>215.64</v>
      </c>
      <c r="CT28" s="516"/>
      <c r="CU28" s="516"/>
      <c r="CV28" s="516"/>
      <c r="CW28" s="516"/>
      <c r="CX28" s="516"/>
      <c r="CY28" s="516"/>
      <c r="CZ28" s="85" t="s">
        <v>145</v>
      </c>
      <c r="DA28" s="85" t="s">
        <v>175</v>
      </c>
      <c r="DB28" s="85">
        <v>4.8800000000000003E-2</v>
      </c>
      <c r="DC28" s="85">
        <v>8.9999999999999998E-4</v>
      </c>
      <c r="DD28" s="66">
        <f t="shared" si="7"/>
        <v>1.4640000000000002</v>
      </c>
      <c r="DE28" s="66">
        <f t="shared" si="7"/>
        <v>2.7E-2</v>
      </c>
      <c r="DF28" s="506"/>
      <c r="DG28" s="506"/>
      <c r="DH28" s="506"/>
      <c r="DI28" s="506"/>
      <c r="DJ28" s="506"/>
      <c r="DK28" s="506"/>
      <c r="DL28" s="81" t="s">
        <v>146</v>
      </c>
      <c r="DM28" s="81" t="s">
        <v>175</v>
      </c>
      <c r="DN28" s="82">
        <v>1.2156</v>
      </c>
      <c r="DO28" s="82">
        <v>0.32619999999999999</v>
      </c>
      <c r="DP28" s="81">
        <f t="shared" si="8"/>
        <v>60.78</v>
      </c>
      <c r="DQ28" s="81">
        <f t="shared" si="8"/>
        <v>16.309999999999999</v>
      </c>
      <c r="DR28" s="503"/>
      <c r="DS28" s="503"/>
      <c r="DT28" s="503"/>
      <c r="DU28" s="503"/>
      <c r="DV28" s="503"/>
      <c r="DW28" s="503"/>
      <c r="DX28" s="86" t="s">
        <v>147</v>
      </c>
      <c r="DY28" s="86" t="s">
        <v>175</v>
      </c>
      <c r="DZ28" s="86">
        <v>0.3654</v>
      </c>
      <c r="EA28" s="86">
        <v>0</v>
      </c>
      <c r="EB28" s="86">
        <f t="shared" si="9"/>
        <v>7.3079999999999998</v>
      </c>
      <c r="EC28" s="86">
        <f t="shared" si="9"/>
        <v>0</v>
      </c>
      <c r="ED28" s="500"/>
      <c r="EE28" s="500"/>
      <c r="EF28" s="500"/>
      <c r="EG28" s="500"/>
      <c r="EH28" s="500"/>
      <c r="EI28" s="500"/>
      <c r="EJ28" s="87" t="s">
        <v>148</v>
      </c>
      <c r="EK28" s="87" t="s">
        <v>175</v>
      </c>
      <c r="EL28" s="88">
        <v>1.9479</v>
      </c>
      <c r="EM28" s="88">
        <v>1.0392999999999999</v>
      </c>
      <c r="EN28" s="70">
        <f t="shared" si="10"/>
        <v>116.874</v>
      </c>
      <c r="EO28" s="70">
        <f t="shared" si="10"/>
        <v>62.35799999999999</v>
      </c>
      <c r="EP28" s="512"/>
      <c r="EQ28" s="512"/>
      <c r="ER28" s="512"/>
      <c r="ES28" s="512"/>
      <c r="ET28" s="512"/>
      <c r="EU28" s="512"/>
      <c r="EV28" s="75" t="s">
        <v>149</v>
      </c>
      <c r="EW28" s="75" t="s">
        <v>175</v>
      </c>
      <c r="EX28" s="75">
        <v>0</v>
      </c>
      <c r="EY28" s="76">
        <v>0</v>
      </c>
      <c r="EZ28" s="509"/>
      <c r="FA28" s="509"/>
      <c r="FB28" s="509"/>
      <c r="FC28" s="509"/>
      <c r="FD28" s="509"/>
      <c r="FE28" s="509"/>
      <c r="FF28" s="72" t="s">
        <v>150</v>
      </c>
      <c r="FG28" s="78" t="s">
        <v>175</v>
      </c>
      <c r="FH28" s="89">
        <v>2.6919</v>
      </c>
      <c r="FI28" s="89">
        <v>1.3297000000000001</v>
      </c>
      <c r="FJ28" s="72">
        <f t="shared" si="12"/>
        <v>269.19</v>
      </c>
      <c r="FK28" s="72">
        <f t="shared" si="12"/>
        <v>132.97</v>
      </c>
      <c r="FL28" s="513"/>
      <c r="FM28" s="513"/>
      <c r="FN28" s="513"/>
      <c r="FO28" s="513"/>
      <c r="FP28" s="513"/>
      <c r="FQ28" s="513"/>
      <c r="FR28" s="29" t="s">
        <v>151</v>
      </c>
      <c r="FS28" s="29" t="s">
        <v>175</v>
      </c>
      <c r="FT28" s="90">
        <v>1.5148999999999999</v>
      </c>
      <c r="FU28" s="2">
        <v>0.70940000000000003</v>
      </c>
      <c r="FV28" s="2">
        <f t="shared" si="13"/>
        <v>60.595999999999997</v>
      </c>
      <c r="FW28" s="2">
        <f t="shared" si="13"/>
        <v>28.376000000000001</v>
      </c>
      <c r="FX28" s="487"/>
      <c r="FY28" s="487"/>
      <c r="FZ28" s="487"/>
      <c r="GA28" s="487"/>
      <c r="GB28" s="487"/>
      <c r="GC28" s="487"/>
    </row>
    <row r="29" spans="1:185">
      <c r="A29" s="74" t="s">
        <v>135</v>
      </c>
      <c r="B29" s="74">
        <v>29.015999999999998</v>
      </c>
      <c r="C29" s="74">
        <v>15.3576</v>
      </c>
      <c r="D29" s="74"/>
      <c r="E29" s="74"/>
      <c r="F29" s="74"/>
      <c r="G29" s="74"/>
      <c r="H29" s="74"/>
      <c r="I29" s="74"/>
      <c r="J29" s="75" t="s">
        <v>136</v>
      </c>
      <c r="K29" s="75" t="s">
        <v>120</v>
      </c>
      <c r="L29" s="76">
        <v>2.6604000000000001</v>
      </c>
      <c r="M29" s="76">
        <v>0</v>
      </c>
      <c r="N29" s="76"/>
      <c r="O29" s="76"/>
      <c r="P29" s="76"/>
      <c r="Q29" s="76"/>
      <c r="R29" s="76"/>
      <c r="S29" s="76"/>
      <c r="T29" s="77" t="s">
        <v>138</v>
      </c>
      <c r="U29" s="77" t="s">
        <v>120</v>
      </c>
      <c r="V29" s="77">
        <v>7.5300000000000006E-2</v>
      </c>
      <c r="W29" s="77">
        <v>0</v>
      </c>
      <c r="X29" s="77">
        <f t="shared" si="0"/>
        <v>3.7650000000000001</v>
      </c>
      <c r="Y29" s="77">
        <f t="shared" si="0"/>
        <v>0</v>
      </c>
      <c r="Z29" s="94"/>
      <c r="AA29" s="94"/>
      <c r="AB29" s="94"/>
      <c r="AC29" s="94"/>
      <c r="AD29" s="94"/>
      <c r="AE29" s="94"/>
      <c r="AF29" s="78" t="s">
        <v>139</v>
      </c>
      <c r="AG29" s="78" t="s">
        <v>120</v>
      </c>
      <c r="AH29" s="78">
        <v>4.0300000000000002E-2</v>
      </c>
      <c r="AI29" s="78">
        <v>0</v>
      </c>
      <c r="AJ29" s="72">
        <f t="shared" si="1"/>
        <v>2.0150000000000001</v>
      </c>
      <c r="AK29" s="72">
        <f t="shared" si="1"/>
        <v>0</v>
      </c>
      <c r="AL29" s="93"/>
      <c r="AM29" s="93"/>
      <c r="AN29" s="93"/>
      <c r="AO29" s="93"/>
      <c r="AP29" s="93"/>
      <c r="AQ29" s="93"/>
      <c r="AR29" s="79" t="s">
        <v>140</v>
      </c>
      <c r="AS29" s="79" t="s">
        <v>120</v>
      </c>
      <c r="AT29" s="91">
        <v>0.51419999999999999</v>
      </c>
      <c r="AU29" s="91">
        <v>0.35980000000000001</v>
      </c>
      <c r="AV29" s="80">
        <f t="shared" si="2"/>
        <v>77.13</v>
      </c>
      <c r="AW29" s="80">
        <f t="shared" si="2"/>
        <v>53.97</v>
      </c>
      <c r="AX29" s="91"/>
      <c r="AY29" s="91"/>
      <c r="AZ29" s="91"/>
      <c r="BA29" s="91"/>
      <c r="BB29" s="91"/>
      <c r="BC29" s="91"/>
      <c r="BD29" s="81" t="s">
        <v>141</v>
      </c>
      <c r="BE29" s="81" t="s">
        <v>120</v>
      </c>
      <c r="BF29" s="81">
        <v>0.96209999999999996</v>
      </c>
      <c r="BG29" s="81">
        <v>0.73019999999999996</v>
      </c>
      <c r="BH29" s="59">
        <f t="shared" si="3"/>
        <v>96.21</v>
      </c>
      <c r="BI29" s="59">
        <f t="shared" si="3"/>
        <v>73.02</v>
      </c>
      <c r="BJ29" s="59"/>
      <c r="BK29" s="59"/>
      <c r="BL29" s="59"/>
      <c r="BM29" s="59"/>
      <c r="BN29" s="59"/>
      <c r="BO29" s="59"/>
      <c r="BP29" s="83" t="s">
        <v>142</v>
      </c>
      <c r="BQ29" s="83" t="s">
        <v>120</v>
      </c>
      <c r="BR29" s="83">
        <v>4.41E-2</v>
      </c>
      <c r="BS29" s="83">
        <v>7.1000000000000004E-3</v>
      </c>
      <c r="BT29" s="61">
        <f t="shared" si="4"/>
        <v>52.92</v>
      </c>
      <c r="BU29" s="61">
        <f t="shared" si="4"/>
        <v>8.5200000000000014</v>
      </c>
      <c r="BV29" s="61"/>
      <c r="BW29" s="61"/>
      <c r="BX29" s="61"/>
      <c r="BY29" s="61"/>
      <c r="BZ29" s="61"/>
      <c r="CA29" s="61"/>
      <c r="CB29" s="39" t="s">
        <v>143</v>
      </c>
      <c r="CC29" s="39" t="s">
        <v>120</v>
      </c>
      <c r="CD29" s="39">
        <v>0.25309999999999999</v>
      </c>
      <c r="CE29" s="39">
        <v>6.8400000000000002E-2</v>
      </c>
      <c r="CF29" s="41">
        <f t="shared" si="5"/>
        <v>607.43999999999994</v>
      </c>
      <c r="CG29" s="41">
        <f t="shared" si="5"/>
        <v>164.16</v>
      </c>
      <c r="CH29" s="41"/>
      <c r="CI29" s="41"/>
      <c r="CJ29" s="41"/>
      <c r="CK29" s="41"/>
      <c r="CL29" s="41"/>
      <c r="CM29" s="41"/>
      <c r="CN29" s="84" t="s">
        <v>144</v>
      </c>
      <c r="CO29" s="84" t="s">
        <v>120</v>
      </c>
      <c r="CP29" s="84">
        <v>0.32079999999999997</v>
      </c>
      <c r="CQ29" s="84">
        <v>0.18609999999999999</v>
      </c>
      <c r="CR29" s="64">
        <f t="shared" si="6"/>
        <v>384.96</v>
      </c>
      <c r="CS29" s="64">
        <f t="shared" si="6"/>
        <v>223.32</v>
      </c>
      <c r="CT29" s="64"/>
      <c r="CU29" s="64"/>
      <c r="CV29" s="64"/>
      <c r="CW29" s="64"/>
      <c r="CX29" s="64"/>
      <c r="CY29" s="64"/>
      <c r="CZ29" s="85" t="s">
        <v>145</v>
      </c>
      <c r="DA29" s="85" t="s">
        <v>120</v>
      </c>
      <c r="DB29" s="85">
        <v>4.7300000000000002E-2</v>
      </c>
      <c r="DC29" s="85">
        <v>2.0000000000000001E-4</v>
      </c>
      <c r="DD29" s="66">
        <f t="shared" si="7"/>
        <v>1.419</v>
      </c>
      <c r="DE29" s="66">
        <f t="shared" si="7"/>
        <v>6.0000000000000001E-3</v>
      </c>
      <c r="DF29" s="66"/>
      <c r="DG29" s="66"/>
      <c r="DH29" s="66"/>
      <c r="DI29" s="66"/>
      <c r="DJ29" s="66"/>
      <c r="DK29" s="66"/>
      <c r="DL29" s="81" t="s">
        <v>146</v>
      </c>
      <c r="DM29" s="81" t="s">
        <v>120</v>
      </c>
      <c r="DN29" s="82">
        <v>1.3452999999999999</v>
      </c>
      <c r="DO29" s="82">
        <v>0.4461</v>
      </c>
      <c r="DP29" s="81">
        <f t="shared" si="8"/>
        <v>67.265000000000001</v>
      </c>
      <c r="DQ29" s="81">
        <f t="shared" si="8"/>
        <v>22.305</v>
      </c>
      <c r="DR29" s="59"/>
      <c r="DS29" s="59"/>
      <c r="DT29" s="59"/>
      <c r="DU29" s="59"/>
      <c r="DV29" s="59"/>
      <c r="DW29" s="59"/>
      <c r="DX29" s="86" t="s">
        <v>147</v>
      </c>
      <c r="DY29" s="86" t="s">
        <v>120</v>
      </c>
      <c r="DZ29" s="86">
        <v>0.30449999999999999</v>
      </c>
      <c r="EA29" s="86">
        <v>0</v>
      </c>
      <c r="EB29" s="86">
        <f t="shared" si="9"/>
        <v>6.09</v>
      </c>
      <c r="EC29" s="86">
        <f t="shared" si="9"/>
        <v>0</v>
      </c>
      <c r="ED29" s="68"/>
      <c r="EE29" s="68"/>
      <c r="EF29" s="68"/>
      <c r="EG29" s="68"/>
      <c r="EH29" s="68"/>
      <c r="EI29" s="68"/>
      <c r="EJ29" s="87" t="s">
        <v>148</v>
      </c>
      <c r="EK29" s="87" t="s">
        <v>120</v>
      </c>
      <c r="EL29" s="95">
        <v>1.7909999999999999</v>
      </c>
      <c r="EM29" s="87">
        <v>0.91510000000000002</v>
      </c>
      <c r="EN29" s="70">
        <f t="shared" si="10"/>
        <v>107.46</v>
      </c>
      <c r="EO29" s="70">
        <f t="shared" si="10"/>
        <v>54.905999999999999</v>
      </c>
      <c r="EP29" s="70"/>
      <c r="EQ29" s="70"/>
      <c r="ER29" s="70"/>
      <c r="ES29" s="70"/>
      <c r="ET29" s="70"/>
      <c r="EU29" s="70"/>
      <c r="EV29" s="75" t="s">
        <v>149</v>
      </c>
      <c r="EW29" s="75" t="s">
        <v>120</v>
      </c>
      <c r="EX29" s="75">
        <v>0</v>
      </c>
      <c r="EY29" s="76">
        <v>0</v>
      </c>
      <c r="EZ29" s="71"/>
      <c r="FA29" s="71"/>
      <c r="FB29" s="71"/>
      <c r="FC29" s="71"/>
      <c r="FD29" s="71"/>
      <c r="FE29" s="71"/>
      <c r="FF29" s="72" t="s">
        <v>150</v>
      </c>
      <c r="FG29" s="78" t="s">
        <v>120</v>
      </c>
      <c r="FH29" s="89">
        <v>2.5205000000000002</v>
      </c>
      <c r="FI29" s="89">
        <v>1.2699</v>
      </c>
      <c r="FJ29" s="72">
        <f t="shared" si="12"/>
        <v>252.05</v>
      </c>
      <c r="FK29" s="72">
        <f t="shared" si="12"/>
        <v>126.99000000000001</v>
      </c>
      <c r="FL29" s="72"/>
      <c r="FM29" s="72"/>
      <c r="FN29" s="72"/>
      <c r="FO29" s="72"/>
      <c r="FP29" s="72"/>
      <c r="FQ29" s="72"/>
      <c r="FR29" s="29" t="s">
        <v>151</v>
      </c>
      <c r="FS29" s="29" t="s">
        <v>120</v>
      </c>
      <c r="FT29" s="90">
        <v>1.1865000000000001</v>
      </c>
      <c r="FU29" s="2">
        <v>0.51719999999999999</v>
      </c>
      <c r="FV29" s="2">
        <f t="shared" si="13"/>
        <v>47.460000000000008</v>
      </c>
      <c r="FW29" s="2">
        <f t="shared" si="13"/>
        <v>20.687999999999999</v>
      </c>
      <c r="FX29" s="2"/>
      <c r="FY29" s="2"/>
      <c r="FZ29" s="2"/>
      <c r="GA29" s="2"/>
      <c r="GB29" s="2"/>
      <c r="GC29" s="2"/>
    </row>
    <row r="30" spans="1:185">
      <c r="G30" s="16"/>
      <c r="EP30" s="9"/>
      <c r="EQ30" s="9"/>
      <c r="ER30" s="9"/>
      <c r="ES30" s="9"/>
      <c r="ET30" s="9"/>
    </row>
    <row r="31" spans="1:185">
      <c r="EP31" s="9"/>
      <c r="EQ31" s="9"/>
      <c r="ER31" s="9"/>
      <c r="ES31" s="9"/>
      <c r="ET31" s="9"/>
    </row>
    <row r="32" spans="1:185">
      <c r="A32" s="96" t="s">
        <v>176</v>
      </c>
      <c r="EP32" s="9"/>
      <c r="EQ32" s="9"/>
      <c r="ER32" s="9"/>
      <c r="ES32" s="9"/>
      <c r="ET32" s="9"/>
    </row>
    <row r="33" spans="1:150">
      <c r="C33" s="97" t="s">
        <v>177</v>
      </c>
      <c r="D33" s="97"/>
      <c r="EP33" s="9"/>
      <c r="EQ33" s="9"/>
      <c r="ER33" s="9"/>
      <c r="ES33" s="9"/>
      <c r="ET33" s="9"/>
    </row>
    <row r="34" spans="1:150">
      <c r="C34" s="97" t="s">
        <v>178</v>
      </c>
      <c r="D34" s="97"/>
      <c r="EP34" s="9"/>
      <c r="EQ34" s="9"/>
      <c r="ER34" s="9"/>
      <c r="ES34" s="9"/>
      <c r="ET34" s="9"/>
    </row>
    <row r="36" spans="1:150">
      <c r="A36" s="96" t="s">
        <v>179</v>
      </c>
    </row>
    <row r="37" spans="1:150">
      <c r="C37" s="97" t="s">
        <v>180</v>
      </c>
      <c r="D37" s="97"/>
    </row>
    <row r="38" spans="1:150">
      <c r="C38" s="97" t="s">
        <v>181</v>
      </c>
      <c r="D38" s="97"/>
    </row>
    <row r="39" spans="1:150">
      <c r="C39" s="97" t="s">
        <v>178</v>
      </c>
      <c r="D39" s="97"/>
    </row>
    <row r="40" spans="1:150">
      <c r="A40" t="s">
        <v>281</v>
      </c>
      <c r="B40">
        <v>0.75</v>
      </c>
      <c r="C40" s="97"/>
      <c r="D40" s="97"/>
    </row>
    <row r="41" spans="1:150">
      <c r="C41" s="97"/>
      <c r="D41" s="97"/>
      <c r="H41" s="491" t="s">
        <v>478</v>
      </c>
      <c r="I41" s="492"/>
      <c r="J41" s="492"/>
      <c r="K41" s="492"/>
      <c r="L41" s="492"/>
      <c r="M41" s="493"/>
    </row>
    <row r="42" spans="1:150" ht="15.75" thickBot="1">
      <c r="A42" s="454" t="s">
        <v>436</v>
      </c>
      <c r="B42" s="454"/>
      <c r="C42" s="454"/>
      <c r="D42" s="494" t="s">
        <v>437</v>
      </c>
      <c r="E42" s="494"/>
      <c r="F42" s="494"/>
    </row>
    <row r="43" spans="1:150" ht="17.25" customHeight="1" thickBot="1">
      <c r="A43" s="454" t="s">
        <v>182</v>
      </c>
      <c r="B43" s="495" t="s">
        <v>183</v>
      </c>
      <c r="C43" s="495"/>
      <c r="D43" s="496" t="s">
        <v>184</v>
      </c>
      <c r="E43" s="496"/>
      <c r="F43" s="496"/>
      <c r="H43" s="132" t="s">
        <v>257</v>
      </c>
      <c r="I43" s="133" t="s">
        <v>258</v>
      </c>
      <c r="J43" s="134" t="s">
        <v>259</v>
      </c>
      <c r="K43" s="135"/>
      <c r="L43" s="135"/>
      <c r="M43" s="136"/>
      <c r="O43" s="156"/>
    </row>
    <row r="44" spans="1:150" ht="15.75" customHeight="1" thickBot="1">
      <c r="A44" s="454"/>
      <c r="B44" s="43" t="s">
        <v>185</v>
      </c>
      <c r="C44" s="98" t="s">
        <v>117</v>
      </c>
      <c r="D44" s="98" t="s">
        <v>186</v>
      </c>
      <c r="E44" s="43" t="s">
        <v>118</v>
      </c>
      <c r="F44" s="43" t="s">
        <v>185</v>
      </c>
      <c r="H44" s="137"/>
      <c r="I44" s="138"/>
      <c r="J44" s="139" t="s">
        <v>260</v>
      </c>
      <c r="K44" s="140" t="s">
        <v>261</v>
      </c>
      <c r="L44" s="141" t="s">
        <v>262</v>
      </c>
      <c r="M44" s="141" t="s">
        <v>201</v>
      </c>
      <c r="N44" s="14"/>
      <c r="P44" s="14"/>
    </row>
    <row r="45" spans="1:150" ht="15.75" thickBot="1">
      <c r="A45" s="2" t="s">
        <v>187</v>
      </c>
      <c r="B45" s="122">
        <v>110</v>
      </c>
      <c r="C45" s="122">
        <v>125</v>
      </c>
      <c r="D45" s="153">
        <f>BA10</f>
        <v>74763.000000000015</v>
      </c>
      <c r="E45" s="153">
        <f>BA5</f>
        <v>28246.5</v>
      </c>
      <c r="F45" s="153">
        <f>BA23</f>
        <v>18770.400000000001</v>
      </c>
      <c r="G45" t="s">
        <v>277</v>
      </c>
      <c r="H45" s="147" t="s">
        <v>272</v>
      </c>
      <c r="I45" s="143">
        <v>42156</v>
      </c>
      <c r="J45" s="148">
        <v>18900</v>
      </c>
      <c r="K45" s="8">
        <v>55200</v>
      </c>
      <c r="L45" s="8">
        <v>19800</v>
      </c>
      <c r="M45" s="146">
        <f>SUM(J50:L50)</f>
        <v>330000</v>
      </c>
      <c r="N45" s="14"/>
      <c r="O45" s="14"/>
      <c r="P45" s="14"/>
    </row>
    <row r="46" spans="1:150" ht="15.75" customHeight="1" thickBot="1">
      <c r="A46" s="1" t="s">
        <v>188</v>
      </c>
      <c r="B46" s="38">
        <v>115</v>
      </c>
      <c r="C46" s="38">
        <v>115</v>
      </c>
      <c r="D46" s="99">
        <f>BM10</f>
        <v>43531.799999999996</v>
      </c>
      <c r="E46" s="99">
        <f>BM5</f>
        <v>14619.000000000002</v>
      </c>
      <c r="F46" s="99">
        <f>BM23</f>
        <v>20093.400000000001</v>
      </c>
      <c r="G46" t="s">
        <v>269</v>
      </c>
      <c r="H46" s="147" t="s">
        <v>269</v>
      </c>
      <c r="I46" s="143">
        <v>42156</v>
      </c>
      <c r="J46" s="148">
        <v>5400</v>
      </c>
      <c r="K46" s="8">
        <v>18000</v>
      </c>
      <c r="L46" s="8">
        <v>5640</v>
      </c>
      <c r="M46" s="149" t="e">
        <f>SUM(#REF!)</f>
        <v>#REF!</v>
      </c>
      <c r="N46" s="14"/>
      <c r="O46" s="14"/>
      <c r="P46" s="14"/>
    </row>
    <row r="47" spans="1:150" ht="15.75" thickBot="1">
      <c r="A47" s="1" t="s">
        <v>189</v>
      </c>
      <c r="B47" s="38">
        <v>36</v>
      </c>
      <c r="C47" s="100">
        <v>35</v>
      </c>
      <c r="D47" s="99">
        <f>G10</f>
        <v>13785.875999999998</v>
      </c>
      <c r="E47" s="99">
        <f>G5</f>
        <v>4155.84</v>
      </c>
      <c r="F47" s="99">
        <f>G23</f>
        <v>6200.7120000000004</v>
      </c>
      <c r="G47" t="s">
        <v>276</v>
      </c>
      <c r="H47" s="147" t="s">
        <v>276</v>
      </c>
      <c r="I47" s="143">
        <v>42156</v>
      </c>
      <c r="J47" s="150">
        <v>0</v>
      </c>
      <c r="K47" s="151">
        <v>0</v>
      </c>
      <c r="L47" s="151">
        <v>0</v>
      </c>
      <c r="M47" s="149">
        <f>SUM(J55:L55)</f>
        <v>9740</v>
      </c>
      <c r="N47" s="14"/>
      <c r="O47" s="14"/>
      <c r="P47" s="14"/>
    </row>
    <row r="48" spans="1:150" ht="15.75" thickBot="1">
      <c r="A48" s="1" t="s">
        <v>190</v>
      </c>
      <c r="B48" s="100">
        <v>5</v>
      </c>
      <c r="C48" s="38">
        <v>39</v>
      </c>
      <c r="D48" s="99">
        <f>AC10</f>
        <v>15194.400000000001</v>
      </c>
      <c r="E48" s="99">
        <f>AC5</f>
        <v>559.5</v>
      </c>
      <c r="F48" s="99">
        <f>AC23</f>
        <v>754.2</v>
      </c>
      <c r="G48" t="s">
        <v>274</v>
      </c>
      <c r="H48" s="147" t="s">
        <v>274</v>
      </c>
      <c r="I48" s="143">
        <v>42156</v>
      </c>
      <c r="J48" s="148">
        <v>550</v>
      </c>
      <c r="K48" s="8">
        <v>18550</v>
      </c>
      <c r="L48" s="8">
        <v>650</v>
      </c>
      <c r="M48" s="149">
        <f>SUM(J54:L54)</f>
        <v>32700</v>
      </c>
      <c r="N48" s="14"/>
      <c r="O48" s="14"/>
      <c r="P48" s="14"/>
    </row>
    <row r="49" spans="1:16" ht="15.75" thickBot="1">
      <c r="A49" s="1" t="s">
        <v>191</v>
      </c>
      <c r="B49" s="100">
        <v>3</v>
      </c>
      <c r="C49" s="38">
        <v>86</v>
      </c>
      <c r="D49" s="153">
        <f>AO10</f>
        <v>33656.999999999993</v>
      </c>
      <c r="E49" s="99">
        <f>AO5</f>
        <v>300</v>
      </c>
      <c r="F49" s="153">
        <f>AO23</f>
        <v>433.8</v>
      </c>
      <c r="G49" t="s">
        <v>273</v>
      </c>
      <c r="H49" s="147" t="s">
        <v>273</v>
      </c>
      <c r="I49" s="143">
        <v>42156</v>
      </c>
      <c r="J49" s="148">
        <v>200</v>
      </c>
      <c r="K49" s="8">
        <v>3050</v>
      </c>
      <c r="L49" s="8">
        <v>250</v>
      </c>
      <c r="M49" s="149">
        <f>SUM(J53:L53)</f>
        <v>11700</v>
      </c>
      <c r="N49" s="14"/>
      <c r="O49" s="14"/>
      <c r="P49" s="14"/>
    </row>
    <row r="50" spans="1:16" ht="15.75" thickBot="1">
      <c r="A50" s="1" t="s">
        <v>192</v>
      </c>
      <c r="B50" s="38">
        <v>280</v>
      </c>
      <c r="C50" s="38">
        <v>280</v>
      </c>
      <c r="D50" s="99">
        <f>FO10</f>
        <v>101860.20000000001</v>
      </c>
      <c r="E50" s="99">
        <f>FO5</f>
        <v>36357</v>
      </c>
      <c r="F50" s="99">
        <f>FO23</f>
        <v>49554.000000000007</v>
      </c>
      <c r="G50" t="s">
        <v>278</v>
      </c>
      <c r="H50" s="142" t="s">
        <v>263</v>
      </c>
      <c r="I50" s="143">
        <v>42156</v>
      </c>
      <c r="J50" s="144">
        <v>66000</v>
      </c>
      <c r="K50" s="145">
        <v>180000</v>
      </c>
      <c r="L50" s="145">
        <v>84000</v>
      </c>
      <c r="M50" s="149">
        <f>SUM(J52:L52)</f>
        <v>232800</v>
      </c>
      <c r="N50" s="14"/>
      <c r="O50" s="14"/>
      <c r="P50" s="14"/>
    </row>
    <row r="51" spans="1:16" ht="15.75" thickBot="1">
      <c r="A51" s="1" t="s">
        <v>193</v>
      </c>
      <c r="B51" s="38">
        <v>640</v>
      </c>
      <c r="C51" s="100">
        <v>700</v>
      </c>
      <c r="D51" s="99">
        <f>CK10</f>
        <v>266853.60000000003</v>
      </c>
      <c r="E51" s="99">
        <f>CK5</f>
        <v>103536</v>
      </c>
      <c r="F51" s="99">
        <f>CK23</f>
        <v>114868.80000000002</v>
      </c>
      <c r="G51" t="s">
        <v>268</v>
      </c>
      <c r="H51" s="147" t="s">
        <v>268</v>
      </c>
      <c r="I51" s="143">
        <v>42156</v>
      </c>
      <c r="J51" s="148">
        <v>96000</v>
      </c>
      <c r="K51" s="8">
        <v>149600</v>
      </c>
      <c r="L51" s="8">
        <v>117600</v>
      </c>
      <c r="M51" s="149">
        <f t="shared" ref="M51:M58" si="14">SUM(J51:L51)</f>
        <v>363200</v>
      </c>
      <c r="N51" s="14"/>
      <c r="O51" s="14"/>
      <c r="P51" s="14"/>
    </row>
    <row r="52" spans="1:16" ht="15.75" thickBot="1">
      <c r="A52" s="1" t="s">
        <v>194</v>
      </c>
      <c r="B52" s="38">
        <v>400</v>
      </c>
      <c r="C52" s="38">
        <v>400</v>
      </c>
      <c r="D52" s="99">
        <f>CW10</f>
        <v>152193.60000000001</v>
      </c>
      <c r="E52" s="99">
        <f>CW5</f>
        <v>59400</v>
      </c>
      <c r="F52" s="99">
        <f>CW23</f>
        <v>70783.199999999997</v>
      </c>
      <c r="G52" t="s">
        <v>279</v>
      </c>
      <c r="H52" s="147" t="s">
        <v>267</v>
      </c>
      <c r="I52" s="143">
        <v>42156</v>
      </c>
      <c r="J52" s="148">
        <v>48000</v>
      </c>
      <c r="K52" s="8">
        <v>124800</v>
      </c>
      <c r="L52" s="8">
        <v>60000</v>
      </c>
      <c r="M52" s="149">
        <f>SUM(J46:L46)</f>
        <v>29040</v>
      </c>
      <c r="N52" s="14"/>
      <c r="O52" s="14"/>
      <c r="P52" s="14"/>
    </row>
    <row r="53" spans="1:16" ht="15.75" thickBot="1">
      <c r="A53" s="1" t="s">
        <v>195</v>
      </c>
      <c r="B53" s="38">
        <v>5</v>
      </c>
      <c r="C53" s="100">
        <v>50</v>
      </c>
      <c r="D53" s="99">
        <f>DI10</f>
        <v>18980.91</v>
      </c>
      <c r="E53" s="99">
        <f>DI5</f>
        <v>202.04999999999998</v>
      </c>
      <c r="F53" s="99">
        <f>DI23</f>
        <v>795.41999999999985</v>
      </c>
      <c r="G53" t="s">
        <v>266</v>
      </c>
      <c r="H53" s="147" t="s">
        <v>266</v>
      </c>
      <c r="I53" s="143">
        <v>42156</v>
      </c>
      <c r="J53" s="148">
        <v>210</v>
      </c>
      <c r="K53" s="8">
        <v>11010</v>
      </c>
      <c r="L53" s="8">
        <v>480</v>
      </c>
      <c r="M53" s="149">
        <f>SUM(J56:L56)</f>
        <v>49500</v>
      </c>
      <c r="N53" s="14"/>
      <c r="O53" s="14"/>
      <c r="P53" s="14"/>
    </row>
    <row r="54" spans="1:16" ht="15.75" thickBot="1">
      <c r="A54" s="1" t="s">
        <v>196</v>
      </c>
      <c r="B54" s="38">
        <v>70</v>
      </c>
      <c r="C54" s="100">
        <v>100</v>
      </c>
      <c r="D54" s="99">
        <f>DU10</f>
        <v>37445.85</v>
      </c>
      <c r="E54" s="99">
        <f>DU5</f>
        <v>9573.75</v>
      </c>
      <c r="F54" s="99">
        <f>DU23</f>
        <v>12082.5</v>
      </c>
      <c r="G54" t="s">
        <v>477</v>
      </c>
      <c r="H54" s="147" t="s">
        <v>265</v>
      </c>
      <c r="I54" s="143">
        <v>42156</v>
      </c>
      <c r="J54" s="148">
        <v>7000</v>
      </c>
      <c r="K54" s="8">
        <v>18750</v>
      </c>
      <c r="L54" s="8">
        <v>6950</v>
      </c>
      <c r="M54" s="149">
        <f>SUM(J57:L57)</f>
        <v>22800</v>
      </c>
      <c r="N54" s="14"/>
      <c r="O54" s="14"/>
      <c r="P54" s="14"/>
    </row>
    <row r="55" spans="1:16" ht="15.75" thickBot="1">
      <c r="A55" s="1" t="s">
        <v>197</v>
      </c>
      <c r="B55" s="38">
        <v>8</v>
      </c>
      <c r="C55" s="100">
        <v>20</v>
      </c>
      <c r="D55" s="100">
        <f>EG10</f>
        <v>7673.64</v>
      </c>
      <c r="E55" s="99">
        <f>EG5</f>
        <v>1057.5</v>
      </c>
      <c r="F55" s="38">
        <f>EG23</f>
        <v>1315.44</v>
      </c>
      <c r="G55" t="s">
        <v>476</v>
      </c>
      <c r="H55" s="147" t="s">
        <v>264</v>
      </c>
      <c r="I55" s="143">
        <v>42156</v>
      </c>
      <c r="J55" s="148">
        <v>2540</v>
      </c>
      <c r="K55" s="8">
        <v>6200</v>
      </c>
      <c r="L55" s="8">
        <v>1000</v>
      </c>
      <c r="M55" s="149">
        <f>SUM(J45:L45)</f>
        <v>93900</v>
      </c>
      <c r="N55" s="14"/>
      <c r="O55" s="14"/>
      <c r="P55" s="14"/>
    </row>
    <row r="56" spans="1:16" ht="15.75" thickBot="1">
      <c r="A56" s="9"/>
      <c r="B56" s="101"/>
      <c r="C56" s="102"/>
      <c r="D56" s="102"/>
      <c r="E56" s="101"/>
      <c r="F56" s="101"/>
      <c r="H56" s="157" t="s">
        <v>270</v>
      </c>
      <c r="I56" s="158">
        <v>42156</v>
      </c>
      <c r="J56" s="159">
        <v>10680</v>
      </c>
      <c r="K56" s="160">
        <v>26640</v>
      </c>
      <c r="L56" s="160">
        <v>12180</v>
      </c>
      <c r="M56" s="149">
        <f>SUM(J49:L49)</f>
        <v>3500</v>
      </c>
      <c r="N56" s="14"/>
      <c r="O56" s="14"/>
      <c r="P56" s="14"/>
    </row>
    <row r="57" spans="1:16" ht="15.75" thickBot="1">
      <c r="A57" s="277" t="s">
        <v>198</v>
      </c>
      <c r="B57" s="103">
        <f>SUM(B45:B55)/1000</f>
        <v>1.6719999999999999</v>
      </c>
      <c r="C57" s="103">
        <f>SUM(C45:C55)/1000</f>
        <v>1.95</v>
      </c>
      <c r="D57" s="104">
        <f>SUM(D45:D55)*12/1000*B40</f>
        <v>6893.4588840000006</v>
      </c>
      <c r="E57" s="104">
        <f>SUM(E45:E55)*12*B40/1000</f>
        <v>2322.0642599999996</v>
      </c>
      <c r="F57" s="104">
        <f>SUM(F45:F55)*12/1000*B40</f>
        <v>2660.8668480000006</v>
      </c>
      <c r="H57" s="157" t="s">
        <v>271</v>
      </c>
      <c r="I57" s="158">
        <v>42156</v>
      </c>
      <c r="J57" s="159">
        <v>4800</v>
      </c>
      <c r="K57" s="160">
        <v>14400</v>
      </c>
      <c r="L57" s="160">
        <v>3600</v>
      </c>
      <c r="M57" s="149">
        <f>SUM(J48:L48)</f>
        <v>19750</v>
      </c>
      <c r="N57" s="14"/>
      <c r="O57" s="14"/>
      <c r="P57" s="14"/>
    </row>
    <row r="58" spans="1:16">
      <c r="A58" s="38" t="s">
        <v>199</v>
      </c>
      <c r="B58" s="38">
        <f>B57*5%</f>
        <v>8.3600000000000008E-2</v>
      </c>
      <c r="C58" s="38">
        <f>C57*5%</f>
        <v>9.7500000000000003E-2</v>
      </c>
      <c r="D58" s="38">
        <f t="shared" ref="D58:F58" si="15">D57*5%</f>
        <v>344.67294420000007</v>
      </c>
      <c r="E58" s="99">
        <f>E57*5%</f>
        <v>116.10321299999998</v>
      </c>
      <c r="F58" s="38">
        <f t="shared" si="15"/>
        <v>133.04334240000003</v>
      </c>
      <c r="H58" s="157" t="s">
        <v>275</v>
      </c>
      <c r="I58" s="158">
        <v>42156</v>
      </c>
      <c r="J58" s="159">
        <v>169</v>
      </c>
      <c r="K58" s="160">
        <v>265</v>
      </c>
      <c r="L58" s="160">
        <v>212</v>
      </c>
      <c r="M58" s="149">
        <f t="shared" si="14"/>
        <v>646</v>
      </c>
      <c r="N58" s="14"/>
      <c r="O58" s="14"/>
      <c r="P58" s="14"/>
    </row>
    <row r="59" spans="1:16" ht="15.75" thickBot="1">
      <c r="A59" s="38" t="s">
        <v>200</v>
      </c>
      <c r="B59" s="38">
        <f>B57*5%</f>
        <v>8.3600000000000008E-2</v>
      </c>
      <c r="C59" s="38">
        <f t="shared" ref="C59:F59" si="16">C57*5%</f>
        <v>9.7500000000000003E-2</v>
      </c>
      <c r="D59" s="38">
        <f t="shared" si="16"/>
        <v>344.67294420000007</v>
      </c>
      <c r="E59" s="99">
        <f t="shared" si="16"/>
        <v>116.10321299999998</v>
      </c>
      <c r="F59" s="38">
        <f t="shared" si="16"/>
        <v>133.04334240000003</v>
      </c>
      <c r="M59" s="152">
        <f>SUM(J47:L47)</f>
        <v>0</v>
      </c>
    </row>
    <row r="61" spans="1:16" ht="15.75">
      <c r="A61" s="105" t="s">
        <v>201</v>
      </c>
      <c r="B61" s="105">
        <f>SUM(B57:B59)</f>
        <v>1.8391999999999999</v>
      </c>
      <c r="C61" s="105">
        <f>SUM(C57:C59)</f>
        <v>2.145</v>
      </c>
      <c r="D61" s="106">
        <f>SUM(D57:D59)</f>
        <v>7582.8047724000007</v>
      </c>
      <c r="E61" s="106">
        <f>SUM(E57:E59)</f>
        <v>2554.2706859999994</v>
      </c>
      <c r="F61" s="106">
        <f>SUM(F57:F59)</f>
        <v>2926.9535328000011</v>
      </c>
      <c r="J61" s="154">
        <f>SUM(J45:J54)*12/1000</f>
        <v>2907.12</v>
      </c>
      <c r="K61" s="154">
        <f>SUM(K45:K54)*12/1000</f>
        <v>6947.52</v>
      </c>
      <c r="L61" s="154">
        <f>SUM(L45:L54)*12/1000</f>
        <v>3544.44</v>
      </c>
      <c r="M61" s="155" t="s">
        <v>280</v>
      </c>
    </row>
    <row r="62" spans="1:16" ht="15.75">
      <c r="A62" s="107"/>
      <c r="B62" s="107"/>
      <c r="C62" s="107"/>
      <c r="D62" s="108"/>
      <c r="E62" s="108"/>
      <c r="F62" s="108"/>
    </row>
    <row r="64" spans="1:16" ht="33" customHeight="1">
      <c r="A64" s="497" t="s">
        <v>202</v>
      </c>
      <c r="B64" s="497"/>
      <c r="C64" s="497"/>
      <c r="D64" s="497"/>
      <c r="E64" s="497"/>
      <c r="F64" s="497"/>
      <c r="G64" s="497"/>
      <c r="H64" s="497"/>
    </row>
    <row r="65" spans="1:8">
      <c r="A65" t="s">
        <v>479</v>
      </c>
    </row>
    <row r="66" spans="1:8" hidden="1">
      <c r="A66" s="7" t="s">
        <v>203</v>
      </c>
      <c r="B66" s="7"/>
      <c r="C66" s="7"/>
      <c r="D66" s="7"/>
      <c r="E66" s="7"/>
      <c r="F66" s="7"/>
      <c r="G66" s="7"/>
      <c r="H66" s="11" t="s">
        <v>204</v>
      </c>
    </row>
    <row r="67" spans="1:8" hidden="1">
      <c r="A67" s="109" t="s">
        <v>205</v>
      </c>
      <c r="B67" s="109"/>
      <c r="C67" s="109"/>
      <c r="D67" s="109"/>
      <c r="E67" s="109"/>
      <c r="F67" s="109"/>
    </row>
    <row r="68" spans="1:8" ht="12.75" hidden="1" customHeight="1">
      <c r="A68" s="7" t="s">
        <v>206</v>
      </c>
    </row>
    <row r="69" spans="1:8" ht="12.75" hidden="1" customHeight="1"/>
    <row r="70" spans="1:8" ht="12.75" hidden="1" customHeight="1">
      <c r="A70" s="7" t="s">
        <v>282</v>
      </c>
      <c r="B70" s="7"/>
      <c r="C70" s="7"/>
      <c r="D70" s="7"/>
      <c r="E70" s="7"/>
    </row>
    <row r="71" spans="1:8" ht="12.75" hidden="1" customHeight="1"/>
  </sheetData>
  <mergeCells count="327">
    <mergeCell ref="FR2:GC2"/>
    <mergeCell ref="A3:C3"/>
    <mergeCell ref="D3:E3"/>
    <mergeCell ref="F3:I3"/>
    <mergeCell ref="J3:M3"/>
    <mergeCell ref="N3:O3"/>
    <mergeCell ref="P3:S3"/>
    <mergeCell ref="BP2:CA2"/>
    <mergeCell ref="CB2:CM2"/>
    <mergeCell ref="CN2:CY2"/>
    <mergeCell ref="CZ2:DK2"/>
    <mergeCell ref="DL2:DW2"/>
    <mergeCell ref="DX2:EI2"/>
    <mergeCell ref="A2:I2"/>
    <mergeCell ref="J2:S2"/>
    <mergeCell ref="T2:AE2"/>
    <mergeCell ref="AF2:AQ2"/>
    <mergeCell ref="AR2:BC2"/>
    <mergeCell ref="BD2:BO2"/>
    <mergeCell ref="T3:Y3"/>
    <mergeCell ref="Z3:AA3"/>
    <mergeCell ref="AB3:AE3"/>
    <mergeCell ref="AF3:AK3"/>
    <mergeCell ref="AL3:AM3"/>
    <mergeCell ref="AN3:AQ3"/>
    <mergeCell ref="EJ2:EU2"/>
    <mergeCell ref="EV2:FE2"/>
    <mergeCell ref="FF2:FQ2"/>
    <mergeCell ref="BP3:BU3"/>
    <mergeCell ref="BV3:BW3"/>
    <mergeCell ref="BX3:CA3"/>
    <mergeCell ref="CB3:CG3"/>
    <mergeCell ref="CH3:CI3"/>
    <mergeCell ref="CJ3:CM3"/>
    <mergeCell ref="AR3:AW3"/>
    <mergeCell ref="AX3:AY3"/>
    <mergeCell ref="AZ3:BC3"/>
    <mergeCell ref="BD3:BI3"/>
    <mergeCell ref="BJ3:BK3"/>
    <mergeCell ref="BL3:BO3"/>
    <mergeCell ref="DL3:DQ3"/>
    <mergeCell ref="DR3:DS3"/>
    <mergeCell ref="DT3:DW3"/>
    <mergeCell ref="DX3:EC3"/>
    <mergeCell ref="ED3:EE3"/>
    <mergeCell ref="EF3:EI3"/>
    <mergeCell ref="CN3:CS3"/>
    <mergeCell ref="CT3:CU3"/>
    <mergeCell ref="CV3:CY3"/>
    <mergeCell ref="CZ3:DE3"/>
    <mergeCell ref="DF3:DG3"/>
    <mergeCell ref="DH3:DK3"/>
    <mergeCell ref="FF3:FK3"/>
    <mergeCell ref="FL3:FM3"/>
    <mergeCell ref="FN3:FQ3"/>
    <mergeCell ref="FR3:FW3"/>
    <mergeCell ref="FX3:FY3"/>
    <mergeCell ref="FZ3:GC3"/>
    <mergeCell ref="EJ3:EO3"/>
    <mergeCell ref="EP3:EQ3"/>
    <mergeCell ref="ER3:EU3"/>
    <mergeCell ref="EV3:EY3"/>
    <mergeCell ref="EZ3:FA3"/>
    <mergeCell ref="FB3:FE3"/>
    <mergeCell ref="D5:D22"/>
    <mergeCell ref="E5:E22"/>
    <mergeCell ref="F5:F9"/>
    <mergeCell ref="G5:G9"/>
    <mergeCell ref="H5:H9"/>
    <mergeCell ref="I5:I9"/>
    <mergeCell ref="F10:F22"/>
    <mergeCell ref="G10:G22"/>
    <mergeCell ref="H10:H22"/>
    <mergeCell ref="I10:I22"/>
    <mergeCell ref="N5:N22"/>
    <mergeCell ref="O5:O22"/>
    <mergeCell ref="P5:P9"/>
    <mergeCell ref="Q5:Q9"/>
    <mergeCell ref="R5:R9"/>
    <mergeCell ref="S5:S9"/>
    <mergeCell ref="P10:P22"/>
    <mergeCell ref="Q10:Q22"/>
    <mergeCell ref="R10:R22"/>
    <mergeCell ref="S10:S22"/>
    <mergeCell ref="Z5:Z22"/>
    <mergeCell ref="AA5:AA22"/>
    <mergeCell ref="AB5:AB9"/>
    <mergeCell ref="AC5:AC9"/>
    <mergeCell ref="AD5:AD9"/>
    <mergeCell ref="AE5:AE9"/>
    <mergeCell ref="AB10:AB22"/>
    <mergeCell ref="AC10:AC22"/>
    <mergeCell ref="AD10:AD22"/>
    <mergeCell ref="AE10:AE22"/>
    <mergeCell ref="AL5:AL22"/>
    <mergeCell ref="AM5:AM22"/>
    <mergeCell ref="AN5:AN9"/>
    <mergeCell ref="AO5:AO9"/>
    <mergeCell ref="AP5:AP9"/>
    <mergeCell ref="AQ5:AQ9"/>
    <mergeCell ref="AN10:AN22"/>
    <mergeCell ref="AO10:AO22"/>
    <mergeCell ref="AP10:AP22"/>
    <mergeCell ref="AQ10:AQ22"/>
    <mergeCell ref="AX5:AX22"/>
    <mergeCell ref="AY5:AY22"/>
    <mergeCell ref="AZ5:AZ9"/>
    <mergeCell ref="BA5:BA9"/>
    <mergeCell ref="BB5:BB9"/>
    <mergeCell ref="BC5:BC9"/>
    <mergeCell ref="AZ10:AZ22"/>
    <mergeCell ref="BA10:BA22"/>
    <mergeCell ref="BB10:BB22"/>
    <mergeCell ref="BC10:BC22"/>
    <mergeCell ref="BJ5:BJ22"/>
    <mergeCell ref="BK5:BK22"/>
    <mergeCell ref="BL5:BL9"/>
    <mergeCell ref="BM5:BM9"/>
    <mergeCell ref="BN5:BN9"/>
    <mergeCell ref="BO5:BO9"/>
    <mergeCell ref="BL10:BL22"/>
    <mergeCell ref="BM10:BM22"/>
    <mergeCell ref="BN10:BN22"/>
    <mergeCell ref="BO10:BO22"/>
    <mergeCell ref="BV5:BV22"/>
    <mergeCell ref="BW5:BW22"/>
    <mergeCell ref="BX5:BX9"/>
    <mergeCell ref="BY5:BY9"/>
    <mergeCell ref="BZ5:BZ9"/>
    <mergeCell ref="CA5:CA9"/>
    <mergeCell ref="BX10:BX22"/>
    <mergeCell ref="BY10:BY22"/>
    <mergeCell ref="BZ10:BZ22"/>
    <mergeCell ref="CA10:CA22"/>
    <mergeCell ref="CH5:CH22"/>
    <mergeCell ref="CI5:CI22"/>
    <mergeCell ref="CJ5:CJ9"/>
    <mergeCell ref="CK5:CK9"/>
    <mergeCell ref="CL5:CL9"/>
    <mergeCell ref="CM5:CM9"/>
    <mergeCell ref="CJ10:CJ22"/>
    <mergeCell ref="CK10:CK22"/>
    <mergeCell ref="CL10:CL22"/>
    <mergeCell ref="CM10:CM22"/>
    <mergeCell ref="CT5:CT22"/>
    <mergeCell ref="CU5:CU22"/>
    <mergeCell ref="CV5:CV9"/>
    <mergeCell ref="CW5:CW9"/>
    <mergeCell ref="CX5:CX9"/>
    <mergeCell ref="CY5:CY9"/>
    <mergeCell ref="CV10:CV22"/>
    <mergeCell ref="CW10:CW22"/>
    <mergeCell ref="CX10:CX22"/>
    <mergeCell ref="CY10:CY22"/>
    <mergeCell ref="DF5:DF22"/>
    <mergeCell ref="DG5:DG22"/>
    <mergeCell ref="DH5:DH9"/>
    <mergeCell ref="DI5:DI9"/>
    <mergeCell ref="DJ5:DJ9"/>
    <mergeCell ref="DK5:DK9"/>
    <mergeCell ref="DH10:DH22"/>
    <mergeCell ref="DI10:DI22"/>
    <mergeCell ref="DJ10:DJ22"/>
    <mergeCell ref="DK10:DK22"/>
    <mergeCell ref="DR5:DR22"/>
    <mergeCell ref="DS5:DS22"/>
    <mergeCell ref="DT5:DT9"/>
    <mergeCell ref="DU5:DU9"/>
    <mergeCell ref="DV5:DV9"/>
    <mergeCell ref="DW5:DW9"/>
    <mergeCell ref="DT10:DT22"/>
    <mergeCell ref="DU10:DU22"/>
    <mergeCell ref="DV10:DV22"/>
    <mergeCell ref="DW10:DW22"/>
    <mergeCell ref="ED5:ED22"/>
    <mergeCell ref="EE5:EE22"/>
    <mergeCell ref="EF5:EF9"/>
    <mergeCell ref="EG5:EG9"/>
    <mergeCell ref="EH5:EH9"/>
    <mergeCell ref="EI5:EI9"/>
    <mergeCell ref="EF10:EF22"/>
    <mergeCell ref="EG10:EG22"/>
    <mergeCell ref="EH10:EH22"/>
    <mergeCell ref="EI10:EI22"/>
    <mergeCell ref="EP5:EP22"/>
    <mergeCell ref="EQ5:EQ22"/>
    <mergeCell ref="ER5:ER9"/>
    <mergeCell ref="ES5:ES9"/>
    <mergeCell ref="ET5:ET9"/>
    <mergeCell ref="EU5:EU9"/>
    <mergeCell ref="ER10:ER22"/>
    <mergeCell ref="ES10:ES22"/>
    <mergeCell ref="ET10:ET22"/>
    <mergeCell ref="EU10:EU22"/>
    <mergeCell ref="EZ5:EZ22"/>
    <mergeCell ref="FA5:FA22"/>
    <mergeCell ref="FB5:FB9"/>
    <mergeCell ref="FC5:FC9"/>
    <mergeCell ref="FD5:FD9"/>
    <mergeCell ref="FE5:FE9"/>
    <mergeCell ref="FB10:FB22"/>
    <mergeCell ref="FC10:FC22"/>
    <mergeCell ref="FD10:FD22"/>
    <mergeCell ref="FE10:FE22"/>
    <mergeCell ref="FL5:FL22"/>
    <mergeCell ref="FM5:FM22"/>
    <mergeCell ref="FN5:FN9"/>
    <mergeCell ref="FO5:FO9"/>
    <mergeCell ref="FP5:FP9"/>
    <mergeCell ref="FQ5:FQ9"/>
    <mergeCell ref="FN10:FN22"/>
    <mergeCell ref="FO10:FO22"/>
    <mergeCell ref="FP10:FP22"/>
    <mergeCell ref="FQ10:FQ22"/>
    <mergeCell ref="FX5:FX22"/>
    <mergeCell ref="FY5:FY22"/>
    <mergeCell ref="FZ5:FZ9"/>
    <mergeCell ref="GA5:GA9"/>
    <mergeCell ref="GB5:GB9"/>
    <mergeCell ref="GC5:GC9"/>
    <mergeCell ref="FZ10:FZ22"/>
    <mergeCell ref="GA10:GA22"/>
    <mergeCell ref="GB10:GB22"/>
    <mergeCell ref="GC10:GC22"/>
    <mergeCell ref="N23:N28"/>
    <mergeCell ref="O23:O28"/>
    <mergeCell ref="P23:P28"/>
    <mergeCell ref="Q23:Q28"/>
    <mergeCell ref="R23:R28"/>
    <mergeCell ref="S23:S28"/>
    <mergeCell ref="D23:D28"/>
    <mergeCell ref="E23:E28"/>
    <mergeCell ref="F23:F28"/>
    <mergeCell ref="G23:G28"/>
    <mergeCell ref="H23:H28"/>
    <mergeCell ref="I23:I28"/>
    <mergeCell ref="AL23:AL28"/>
    <mergeCell ref="AM23:AM28"/>
    <mergeCell ref="AN23:AN28"/>
    <mergeCell ref="AO23:AO28"/>
    <mergeCell ref="AP23:AP28"/>
    <mergeCell ref="AQ23:AQ28"/>
    <mergeCell ref="Z23:Z28"/>
    <mergeCell ref="AA23:AA28"/>
    <mergeCell ref="AB23:AB28"/>
    <mergeCell ref="AC23:AC28"/>
    <mergeCell ref="AD23:AD28"/>
    <mergeCell ref="AE23:AE28"/>
    <mergeCell ref="BJ23:BJ28"/>
    <mergeCell ref="BK23:BK28"/>
    <mergeCell ref="BL23:BL28"/>
    <mergeCell ref="BM23:BM28"/>
    <mergeCell ref="BN23:BN28"/>
    <mergeCell ref="BO23:BO28"/>
    <mergeCell ref="AX23:AX28"/>
    <mergeCell ref="AY23:AY28"/>
    <mergeCell ref="AZ23:AZ28"/>
    <mergeCell ref="BA23:BA28"/>
    <mergeCell ref="BB23:BB28"/>
    <mergeCell ref="BC23:BC28"/>
    <mergeCell ref="CH23:CH28"/>
    <mergeCell ref="CI23:CI28"/>
    <mergeCell ref="CJ23:CJ28"/>
    <mergeCell ref="CK23:CK28"/>
    <mergeCell ref="CL23:CL28"/>
    <mergeCell ref="CM23:CM28"/>
    <mergeCell ref="BV23:BV28"/>
    <mergeCell ref="BW23:BW28"/>
    <mergeCell ref="BX23:BX28"/>
    <mergeCell ref="BY23:BY28"/>
    <mergeCell ref="BZ23:BZ28"/>
    <mergeCell ref="CA23:CA28"/>
    <mergeCell ref="DI23:DI28"/>
    <mergeCell ref="DJ23:DJ28"/>
    <mergeCell ref="DK23:DK28"/>
    <mergeCell ref="CT23:CT28"/>
    <mergeCell ref="CU23:CU28"/>
    <mergeCell ref="CV23:CV28"/>
    <mergeCell ref="CW23:CW28"/>
    <mergeCell ref="CX23:CX28"/>
    <mergeCell ref="CY23:CY28"/>
    <mergeCell ref="FZ23:FZ28"/>
    <mergeCell ref="GA23:GA28"/>
    <mergeCell ref="GB23:GB28"/>
    <mergeCell ref="GC23:GC28"/>
    <mergeCell ref="FL23:FL28"/>
    <mergeCell ref="FM23:FM28"/>
    <mergeCell ref="FN23:FN28"/>
    <mergeCell ref="FO23:FO28"/>
    <mergeCell ref="FP23:FP28"/>
    <mergeCell ref="FQ23:FQ28"/>
    <mergeCell ref="FY23:FY28"/>
    <mergeCell ref="FA23:FA28"/>
    <mergeCell ref="FB23:FB28"/>
    <mergeCell ref="FC23:FC28"/>
    <mergeCell ref="FD23:FD28"/>
    <mergeCell ref="FE23:FE28"/>
    <mergeCell ref="EP23:EP28"/>
    <mergeCell ref="EQ23:EQ28"/>
    <mergeCell ref="ER23:ER28"/>
    <mergeCell ref="ES23:ES28"/>
    <mergeCell ref="ET23:ET28"/>
    <mergeCell ref="EU23:EU28"/>
    <mergeCell ref="H41:M41"/>
    <mergeCell ref="A42:C42"/>
    <mergeCell ref="D42:F42"/>
    <mergeCell ref="A43:A44"/>
    <mergeCell ref="B43:C43"/>
    <mergeCell ref="D43:F43"/>
    <mergeCell ref="A64:H64"/>
    <mergeCell ref="FX23:FX28"/>
    <mergeCell ref="ED23:ED28"/>
    <mergeCell ref="EE23:EE28"/>
    <mergeCell ref="EF23:EF28"/>
    <mergeCell ref="EG23:EG28"/>
    <mergeCell ref="EH23:EH28"/>
    <mergeCell ref="EI23:EI28"/>
    <mergeCell ref="DR23:DR28"/>
    <mergeCell ref="DS23:DS28"/>
    <mergeCell ref="DT23:DT28"/>
    <mergeCell ref="DU23:DU28"/>
    <mergeCell ref="DV23:DV28"/>
    <mergeCell ref="DW23:DW28"/>
    <mergeCell ref="DF23:DF28"/>
    <mergeCell ref="DG23:DG28"/>
    <mergeCell ref="DH23:DH28"/>
    <mergeCell ref="EZ23:EZ2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4:Z54"/>
  <sheetViews>
    <sheetView topLeftCell="F24" workbookViewId="0">
      <selection activeCell="I39" sqref="I39"/>
    </sheetView>
  </sheetViews>
  <sheetFormatPr baseColWidth="10" defaultRowHeight="15"/>
  <cols>
    <col min="2" max="2" width="9.5703125" customWidth="1"/>
    <col min="3" max="4" width="12.140625" customWidth="1"/>
    <col min="5" max="5" width="11" customWidth="1"/>
    <col min="6" max="7" width="10.85546875" customWidth="1"/>
  </cols>
  <sheetData>
    <row r="4" spans="1:26">
      <c r="A4" s="616" t="s">
        <v>441</v>
      </c>
      <c r="B4" s="616"/>
      <c r="C4" s="616"/>
      <c r="D4" s="616"/>
      <c r="E4" s="616"/>
      <c r="F4" s="616"/>
      <c r="G4" s="616"/>
    </row>
    <row r="5" spans="1:26" ht="46.5" customHeight="1">
      <c r="A5" s="44" t="s">
        <v>79</v>
      </c>
      <c r="B5" s="617" t="s">
        <v>426</v>
      </c>
      <c r="C5" s="618"/>
      <c r="D5" s="617" t="s">
        <v>428</v>
      </c>
      <c r="E5" s="618"/>
      <c r="F5" s="617" t="s">
        <v>427</v>
      </c>
      <c r="G5" s="618"/>
    </row>
    <row r="6" spans="1:26" ht="30">
      <c r="A6" s="44"/>
      <c r="B6" s="44" t="s">
        <v>185</v>
      </c>
      <c r="C6" s="110" t="s">
        <v>117</v>
      </c>
      <c r="D6" s="272" t="s">
        <v>185</v>
      </c>
      <c r="E6" s="273" t="s">
        <v>117</v>
      </c>
      <c r="F6" s="44" t="s">
        <v>185</v>
      </c>
      <c r="G6" s="110" t="s">
        <v>117</v>
      </c>
      <c r="H6" s="14"/>
      <c r="I6" s="14"/>
      <c r="J6" s="14"/>
      <c r="K6" s="14"/>
      <c r="L6" s="14"/>
      <c r="M6" s="14"/>
      <c r="N6" s="14"/>
      <c r="O6" s="14"/>
      <c r="P6" s="14"/>
      <c r="Q6" s="14"/>
      <c r="R6" s="14"/>
      <c r="S6" s="14"/>
      <c r="T6" s="14"/>
      <c r="U6" s="14"/>
      <c r="V6" s="14"/>
      <c r="W6" s="14"/>
      <c r="X6" s="14"/>
      <c r="Y6" s="14"/>
      <c r="Z6" s="14"/>
    </row>
    <row r="7" spans="1:26">
      <c r="A7" s="38">
        <v>2017</v>
      </c>
      <c r="B7" s="111">
        <f>'[2]DEMANDA HORARIA PARQUE INDUST.'!B61</f>
        <v>1.8391999999999999</v>
      </c>
      <c r="C7" s="111">
        <f>'[2]DEMANDA HORARIA PARQUE INDUST.'!C61</f>
        <v>2.145</v>
      </c>
      <c r="D7" s="111">
        <f>B7</f>
        <v>1.8391999999999999</v>
      </c>
      <c r="E7" s="111">
        <f>C7</f>
        <v>2.145</v>
      </c>
      <c r="F7" s="111">
        <f>B7</f>
        <v>1.8391999999999999</v>
      </c>
      <c r="G7" s="111">
        <f>C7</f>
        <v>2.145</v>
      </c>
      <c r="H7" s="14"/>
      <c r="I7" s="14"/>
      <c r="J7" s="14"/>
      <c r="K7" s="14"/>
      <c r="L7" s="14"/>
      <c r="M7" s="14"/>
      <c r="N7" s="14"/>
      <c r="O7" s="14"/>
      <c r="P7" s="14"/>
      <c r="Q7" s="14"/>
      <c r="R7" s="14"/>
      <c r="S7" s="14"/>
      <c r="T7" s="14"/>
      <c r="U7" s="14"/>
      <c r="V7" s="14"/>
      <c r="W7" s="14"/>
      <c r="X7" s="14"/>
      <c r="Y7" s="14"/>
      <c r="Z7" s="14"/>
    </row>
    <row r="8" spans="1:26">
      <c r="A8" s="38">
        <v>2018</v>
      </c>
      <c r="B8" s="111">
        <f>B7+(B7*2%)</f>
        <v>1.8759839999999999</v>
      </c>
      <c r="C8" s="111">
        <f>C7+(C7*2%)</f>
        <v>2.1879</v>
      </c>
      <c r="D8" s="111">
        <f>D7+(D7*4%)</f>
        <v>1.912768</v>
      </c>
      <c r="E8" s="111">
        <f>E7+(E7*4%)</f>
        <v>2.2307999999999999</v>
      </c>
      <c r="F8" s="111">
        <f>F7+(F7*6%)</f>
        <v>1.949552</v>
      </c>
      <c r="G8" s="111">
        <f>G7+(G7*6%)</f>
        <v>2.2736999999999998</v>
      </c>
      <c r="H8" s="14"/>
      <c r="I8" s="14"/>
      <c r="J8" s="14"/>
      <c r="K8" s="14"/>
      <c r="L8" s="14"/>
      <c r="M8" s="14"/>
      <c r="N8" s="14"/>
      <c r="O8" s="14"/>
      <c r="P8" s="14"/>
      <c r="Q8" s="14"/>
      <c r="R8" s="14"/>
      <c r="S8" s="14"/>
      <c r="T8" s="14"/>
      <c r="U8" s="14"/>
      <c r="V8" s="14"/>
      <c r="W8" s="14"/>
      <c r="X8" s="14"/>
      <c r="Y8" s="14"/>
      <c r="Z8" s="14"/>
    </row>
    <row r="9" spans="1:26">
      <c r="A9" s="424">
        <v>2019</v>
      </c>
      <c r="B9" s="111">
        <f>B8+(B8*2%)</f>
        <v>1.9135036799999998</v>
      </c>
      <c r="C9" s="111">
        <f t="shared" ref="C9:C37" si="0">C8+(C8*2%)</f>
        <v>2.2316579999999999</v>
      </c>
      <c r="D9" s="111">
        <f t="shared" ref="D9:D37" si="1">D8+(D8*4%)</f>
        <v>1.9892787199999999</v>
      </c>
      <c r="E9" s="111">
        <f t="shared" ref="E9:E37" si="2">E8+(E8*4%)</f>
        <v>2.3200319999999999</v>
      </c>
      <c r="F9" s="111">
        <f t="shared" ref="F9:F37" si="3">F8+(F8*6%)</f>
        <v>2.0665251200000001</v>
      </c>
      <c r="G9" s="111">
        <f t="shared" ref="G9:G37" si="4">G8+(G8*6%)</f>
        <v>2.4101219999999999</v>
      </c>
      <c r="H9" s="14"/>
      <c r="I9" s="14"/>
      <c r="J9" s="14"/>
      <c r="K9" s="14"/>
      <c r="L9" s="14"/>
      <c r="M9" s="14"/>
      <c r="N9" s="14"/>
      <c r="O9" s="14"/>
      <c r="P9" s="14"/>
      <c r="Q9" s="14"/>
      <c r="R9" s="14"/>
      <c r="S9" s="14"/>
      <c r="T9" s="14"/>
      <c r="U9" s="14"/>
      <c r="V9" s="14"/>
      <c r="W9" s="14"/>
      <c r="X9" s="14"/>
      <c r="Y9" s="14"/>
      <c r="Z9" s="14"/>
    </row>
    <row r="10" spans="1:26">
      <c r="A10" s="424">
        <v>2020</v>
      </c>
      <c r="B10" s="111">
        <f t="shared" ref="B10:B37" si="5">B9+(B9*2%)</f>
        <v>1.9517737535999997</v>
      </c>
      <c r="C10" s="111">
        <f t="shared" si="0"/>
        <v>2.27629116</v>
      </c>
      <c r="D10" s="111">
        <f t="shared" si="1"/>
        <v>2.0688498688000001</v>
      </c>
      <c r="E10" s="111">
        <f t="shared" si="2"/>
        <v>2.4128332800000001</v>
      </c>
      <c r="F10" s="111">
        <f t="shared" si="3"/>
        <v>2.1905166272000001</v>
      </c>
      <c r="G10" s="111">
        <f t="shared" si="4"/>
        <v>2.5547293199999999</v>
      </c>
      <c r="H10" s="14"/>
      <c r="I10" s="14"/>
      <c r="J10" s="14"/>
      <c r="K10" s="14"/>
      <c r="L10" s="14"/>
      <c r="M10" s="14"/>
      <c r="N10" s="14"/>
      <c r="O10" s="14"/>
      <c r="P10" s="14"/>
      <c r="Q10" s="14"/>
      <c r="R10" s="14"/>
      <c r="S10" s="14"/>
      <c r="T10" s="14"/>
      <c r="U10" s="14"/>
      <c r="V10" s="14"/>
      <c r="W10" s="14"/>
      <c r="X10" s="14"/>
      <c r="Y10" s="14"/>
      <c r="Z10" s="14"/>
    </row>
    <row r="11" spans="1:26">
      <c r="A11" s="424">
        <v>2021</v>
      </c>
      <c r="B11" s="111">
        <f t="shared" si="5"/>
        <v>1.9908092286719996</v>
      </c>
      <c r="C11" s="111">
        <f t="shared" si="0"/>
        <v>2.3218169832000002</v>
      </c>
      <c r="D11" s="111">
        <f t="shared" si="1"/>
        <v>2.1516038635520003</v>
      </c>
      <c r="E11" s="111">
        <f t="shared" si="2"/>
        <v>2.5093466112000002</v>
      </c>
      <c r="F11" s="111">
        <f t="shared" si="3"/>
        <v>2.3219476248320001</v>
      </c>
      <c r="G11" s="111">
        <f t="shared" si="4"/>
        <v>2.7080130791999997</v>
      </c>
      <c r="H11" s="14"/>
      <c r="I11" s="14"/>
      <c r="J11" s="14"/>
      <c r="K11" s="14"/>
      <c r="L11" s="14"/>
      <c r="M11" s="14"/>
      <c r="N11" s="14"/>
      <c r="O11" s="14"/>
      <c r="P11" s="14"/>
      <c r="Q11" s="14"/>
      <c r="R11" s="14"/>
      <c r="S11" s="14"/>
      <c r="T11" s="14"/>
      <c r="U11" s="14"/>
      <c r="V11" s="14"/>
      <c r="W11" s="14"/>
      <c r="X11" s="14"/>
      <c r="Y11" s="14"/>
      <c r="Z11" s="14"/>
    </row>
    <row r="12" spans="1:26">
      <c r="A12" s="424">
        <v>2022</v>
      </c>
      <c r="B12" s="111">
        <f t="shared" si="5"/>
        <v>2.0306254132454398</v>
      </c>
      <c r="C12" s="111">
        <f t="shared" si="0"/>
        <v>2.3682533228640001</v>
      </c>
      <c r="D12" s="111">
        <f t="shared" si="1"/>
        <v>2.2376680180940802</v>
      </c>
      <c r="E12" s="111">
        <f t="shared" si="2"/>
        <v>2.6097204756480004</v>
      </c>
      <c r="F12" s="111">
        <f t="shared" si="3"/>
        <v>2.4612644823219201</v>
      </c>
      <c r="G12" s="111">
        <f t="shared" si="4"/>
        <v>2.8704938639519995</v>
      </c>
      <c r="H12" s="14"/>
      <c r="I12" s="14"/>
      <c r="J12" s="14"/>
      <c r="K12" s="14"/>
      <c r="L12" s="14"/>
      <c r="M12" s="14"/>
      <c r="N12" s="14"/>
      <c r="O12" s="14"/>
      <c r="P12" s="14"/>
      <c r="Q12" s="14"/>
      <c r="R12" s="14"/>
      <c r="S12" s="14"/>
      <c r="T12" s="14"/>
      <c r="U12" s="14"/>
      <c r="V12" s="14"/>
      <c r="W12" s="14"/>
      <c r="X12" s="14"/>
      <c r="Y12" s="14"/>
      <c r="Z12" s="14"/>
    </row>
    <row r="13" spans="1:26">
      <c r="A13" s="424">
        <v>2023</v>
      </c>
      <c r="B13" s="111">
        <f t="shared" si="5"/>
        <v>2.0712379215103485</v>
      </c>
      <c r="C13" s="111">
        <f t="shared" si="0"/>
        <v>2.4156183893212804</v>
      </c>
      <c r="D13" s="111">
        <f t="shared" si="1"/>
        <v>2.3271747388178436</v>
      </c>
      <c r="E13" s="111">
        <f t="shared" si="2"/>
        <v>2.7141092946739205</v>
      </c>
      <c r="F13" s="111">
        <f t="shared" si="3"/>
        <v>2.6089403512612352</v>
      </c>
      <c r="G13" s="111">
        <f t="shared" si="4"/>
        <v>3.0427234957891196</v>
      </c>
      <c r="H13" s="14"/>
      <c r="I13" s="14"/>
      <c r="J13" s="14"/>
      <c r="K13" s="14"/>
      <c r="L13" s="14"/>
      <c r="M13" s="14"/>
      <c r="N13" s="14"/>
      <c r="O13" s="14"/>
      <c r="P13" s="14"/>
      <c r="Q13" s="14"/>
      <c r="R13" s="14"/>
      <c r="S13" s="14"/>
      <c r="T13" s="14"/>
      <c r="U13" s="14"/>
      <c r="V13" s="14"/>
      <c r="W13" s="14"/>
      <c r="X13" s="14"/>
      <c r="Y13" s="14"/>
      <c r="Z13" s="14"/>
    </row>
    <row r="14" spans="1:26">
      <c r="A14" s="424">
        <v>2024</v>
      </c>
      <c r="B14" s="111">
        <f t="shared" si="5"/>
        <v>2.1126626799405552</v>
      </c>
      <c r="C14" s="111">
        <f t="shared" si="0"/>
        <v>2.4639307571077058</v>
      </c>
      <c r="D14" s="111">
        <f t="shared" si="1"/>
        <v>2.4202617283705572</v>
      </c>
      <c r="E14" s="111">
        <f t="shared" si="2"/>
        <v>2.8226736664608771</v>
      </c>
      <c r="F14" s="111">
        <f t="shared" si="3"/>
        <v>2.7654767723369096</v>
      </c>
      <c r="G14" s="111">
        <f t="shared" si="4"/>
        <v>3.2252869055364668</v>
      </c>
      <c r="H14" s="14"/>
      <c r="I14" s="14"/>
      <c r="J14" s="14"/>
      <c r="K14" s="14"/>
      <c r="L14" s="14"/>
      <c r="M14" s="14"/>
      <c r="N14" s="14"/>
      <c r="O14" s="14"/>
      <c r="P14" s="14"/>
      <c r="Q14" s="14"/>
      <c r="R14" s="14"/>
      <c r="S14" s="14"/>
      <c r="T14" s="14"/>
      <c r="U14" s="14"/>
      <c r="V14" s="14"/>
      <c r="W14" s="14"/>
      <c r="X14" s="14"/>
      <c r="Y14" s="14"/>
      <c r="Z14" s="14"/>
    </row>
    <row r="15" spans="1:26">
      <c r="A15" s="424">
        <v>2025</v>
      </c>
      <c r="B15" s="111">
        <f t="shared" si="5"/>
        <v>2.1549159335393662</v>
      </c>
      <c r="C15" s="111">
        <f t="shared" si="0"/>
        <v>2.5132093722498601</v>
      </c>
      <c r="D15" s="111">
        <f t="shared" si="1"/>
        <v>2.5170721975053794</v>
      </c>
      <c r="E15" s="111">
        <f t="shared" si="2"/>
        <v>2.9355806131193121</v>
      </c>
      <c r="F15" s="111">
        <f t="shared" si="3"/>
        <v>2.9314053786771241</v>
      </c>
      <c r="G15" s="111">
        <f t="shared" si="4"/>
        <v>3.4188041198686547</v>
      </c>
      <c r="H15" s="14"/>
      <c r="I15" s="14"/>
      <c r="J15" s="14"/>
      <c r="K15" s="14"/>
      <c r="L15" s="14"/>
      <c r="M15" s="14"/>
      <c r="N15" s="14"/>
      <c r="O15" s="14"/>
      <c r="P15" s="14"/>
      <c r="Q15" s="14"/>
      <c r="R15" s="14"/>
      <c r="S15" s="14"/>
      <c r="T15" s="14"/>
      <c r="U15" s="14"/>
      <c r="V15" s="14"/>
      <c r="W15" s="14"/>
      <c r="X15" s="14"/>
      <c r="Y15" s="14"/>
      <c r="Z15" s="14"/>
    </row>
    <row r="16" spans="1:26">
      <c r="A16" s="424">
        <v>2026</v>
      </c>
      <c r="B16" s="111">
        <f t="shared" si="5"/>
        <v>2.1980142522101533</v>
      </c>
      <c r="C16" s="111">
        <f t="shared" si="0"/>
        <v>2.5634735596948572</v>
      </c>
      <c r="D16" s="111">
        <f t="shared" si="1"/>
        <v>2.6177550854055944</v>
      </c>
      <c r="E16" s="111">
        <f t="shared" si="2"/>
        <v>3.0530038376440847</v>
      </c>
      <c r="F16" s="111">
        <f t="shared" si="3"/>
        <v>3.1072897013977516</v>
      </c>
      <c r="G16" s="111">
        <f t="shared" si="4"/>
        <v>3.6239323670607742</v>
      </c>
      <c r="H16" s="14"/>
      <c r="I16" s="14"/>
      <c r="J16" s="14"/>
      <c r="K16" s="14"/>
      <c r="L16" s="14"/>
      <c r="M16" s="14"/>
      <c r="N16" s="14"/>
      <c r="O16" s="14"/>
      <c r="P16" s="14"/>
      <c r="Q16" s="14"/>
      <c r="R16" s="14"/>
      <c r="S16" s="14"/>
      <c r="T16" s="14"/>
      <c r="U16" s="14"/>
      <c r="V16" s="14"/>
      <c r="W16" s="14"/>
      <c r="X16" s="14"/>
      <c r="Y16" s="14"/>
      <c r="Z16" s="14"/>
    </row>
    <row r="17" spans="1:26">
      <c r="A17" s="424">
        <v>2027</v>
      </c>
      <c r="B17" s="111">
        <f t="shared" si="5"/>
        <v>2.2419745372543565</v>
      </c>
      <c r="C17" s="111">
        <f t="shared" si="0"/>
        <v>2.6147430308887545</v>
      </c>
      <c r="D17" s="111">
        <f t="shared" si="1"/>
        <v>2.7224652888218182</v>
      </c>
      <c r="E17" s="111">
        <f t="shared" si="2"/>
        <v>3.1751239911498481</v>
      </c>
      <c r="F17" s="111">
        <f t="shared" si="3"/>
        <v>3.2937270834816168</v>
      </c>
      <c r="G17" s="111">
        <f t="shared" si="4"/>
        <v>3.8413683090844204</v>
      </c>
      <c r="H17" s="14"/>
      <c r="I17" s="14"/>
      <c r="J17" s="14"/>
      <c r="K17" s="14"/>
      <c r="L17" s="14"/>
      <c r="M17" s="14"/>
      <c r="N17" s="14"/>
      <c r="O17" s="14"/>
      <c r="P17" s="14"/>
      <c r="Q17" s="14"/>
      <c r="R17" s="14"/>
      <c r="S17" s="14"/>
      <c r="T17" s="14"/>
      <c r="U17" s="14"/>
      <c r="V17" s="14"/>
      <c r="W17" s="14"/>
      <c r="X17" s="14"/>
      <c r="Y17" s="14"/>
      <c r="Z17" s="14"/>
    </row>
    <row r="18" spans="1:26">
      <c r="A18" s="424">
        <v>2028</v>
      </c>
      <c r="B18" s="111">
        <f t="shared" si="5"/>
        <v>2.2868140279994438</v>
      </c>
      <c r="C18" s="111">
        <f t="shared" si="0"/>
        <v>2.6670378915065296</v>
      </c>
      <c r="D18" s="111">
        <f t="shared" si="1"/>
        <v>2.8313639003746909</v>
      </c>
      <c r="E18" s="111">
        <f t="shared" si="2"/>
        <v>3.3021289507958422</v>
      </c>
      <c r="F18" s="111">
        <f t="shared" si="3"/>
        <v>3.491350708490514</v>
      </c>
      <c r="G18" s="111">
        <f t="shared" si="4"/>
        <v>4.0718504076294852</v>
      </c>
      <c r="H18" s="14"/>
      <c r="I18" s="14"/>
      <c r="J18" s="14"/>
      <c r="K18" s="14"/>
      <c r="L18" s="14"/>
      <c r="M18" s="14"/>
      <c r="N18" s="14"/>
      <c r="O18" s="14"/>
      <c r="P18" s="14"/>
      <c r="Q18" s="14"/>
      <c r="R18" s="14"/>
      <c r="S18" s="14"/>
      <c r="T18" s="14"/>
      <c r="U18" s="14"/>
      <c r="V18" s="14"/>
      <c r="W18" s="14"/>
      <c r="X18" s="14"/>
      <c r="Y18" s="14"/>
      <c r="Z18" s="14"/>
    </row>
    <row r="19" spans="1:26">
      <c r="A19" s="424">
        <v>2029</v>
      </c>
      <c r="B19" s="111">
        <f t="shared" si="5"/>
        <v>2.3325503085594326</v>
      </c>
      <c r="C19" s="111">
        <f t="shared" si="0"/>
        <v>2.7203786493366602</v>
      </c>
      <c r="D19" s="111">
        <f t="shared" si="1"/>
        <v>2.9446184563896787</v>
      </c>
      <c r="E19" s="111">
        <f t="shared" si="2"/>
        <v>3.4342141088276761</v>
      </c>
      <c r="F19" s="111">
        <f t="shared" si="3"/>
        <v>3.7008317509999449</v>
      </c>
      <c r="G19" s="111">
        <f t="shared" si="4"/>
        <v>4.3161614320872541</v>
      </c>
      <c r="H19" s="14"/>
      <c r="I19" s="14"/>
      <c r="J19" s="14"/>
      <c r="K19" s="14"/>
      <c r="L19" s="14"/>
      <c r="M19" s="14"/>
      <c r="N19" s="14"/>
      <c r="O19" s="14"/>
      <c r="P19" s="14"/>
      <c r="Q19" s="14"/>
      <c r="R19" s="14"/>
      <c r="S19" s="14"/>
      <c r="T19" s="14"/>
      <c r="U19" s="14"/>
      <c r="V19" s="14"/>
      <c r="W19" s="14"/>
      <c r="X19" s="14"/>
      <c r="Y19" s="14"/>
      <c r="Z19" s="14"/>
    </row>
    <row r="20" spans="1:26">
      <c r="A20" s="424">
        <v>2030</v>
      </c>
      <c r="B20" s="111">
        <f t="shared" si="5"/>
        <v>2.3792013147306212</v>
      </c>
      <c r="C20" s="111">
        <f t="shared" si="0"/>
        <v>2.7747862223233932</v>
      </c>
      <c r="D20" s="111">
        <f t="shared" si="1"/>
        <v>3.0624031946452659</v>
      </c>
      <c r="E20" s="111">
        <f t="shared" si="2"/>
        <v>3.5715826731807829</v>
      </c>
      <c r="F20" s="111">
        <f t="shared" si="3"/>
        <v>3.9228816560599418</v>
      </c>
      <c r="G20" s="111">
        <f t="shared" si="4"/>
        <v>4.5751311180124894</v>
      </c>
      <c r="H20" s="14"/>
      <c r="I20" s="14"/>
      <c r="J20" s="14"/>
      <c r="K20" s="14"/>
      <c r="L20" s="14"/>
      <c r="M20" s="14"/>
      <c r="N20" s="14"/>
      <c r="O20" s="14"/>
      <c r="P20" s="14"/>
      <c r="Q20" s="14"/>
      <c r="R20" s="14"/>
      <c r="S20" s="14"/>
      <c r="T20" s="14"/>
      <c r="U20" s="14"/>
      <c r="V20" s="14"/>
      <c r="W20" s="14"/>
      <c r="X20" s="14"/>
      <c r="Y20" s="14"/>
      <c r="Z20" s="14"/>
    </row>
    <row r="21" spans="1:26">
      <c r="A21" s="424">
        <v>2031</v>
      </c>
      <c r="B21" s="111">
        <f t="shared" si="5"/>
        <v>2.4267853410252336</v>
      </c>
      <c r="C21" s="111">
        <f t="shared" si="0"/>
        <v>2.830281946769861</v>
      </c>
      <c r="D21" s="111">
        <f t="shared" si="1"/>
        <v>3.1848993224310767</v>
      </c>
      <c r="E21" s="111">
        <f t="shared" si="2"/>
        <v>3.7144459801080143</v>
      </c>
      <c r="F21" s="111">
        <f t="shared" si="3"/>
        <v>4.1582545554235386</v>
      </c>
      <c r="G21" s="111">
        <f t="shared" si="4"/>
        <v>4.8496389850932387</v>
      </c>
      <c r="H21" s="14"/>
      <c r="I21" s="14"/>
      <c r="J21" s="14"/>
      <c r="K21" s="14"/>
      <c r="L21" s="14"/>
      <c r="M21" s="14"/>
      <c r="N21" s="14"/>
      <c r="O21" s="14"/>
      <c r="P21" s="14"/>
      <c r="Q21" s="14"/>
      <c r="R21" s="14"/>
      <c r="S21" s="14"/>
      <c r="T21" s="14"/>
      <c r="U21" s="14"/>
      <c r="V21" s="14"/>
      <c r="W21" s="14"/>
      <c r="X21" s="14"/>
      <c r="Y21" s="14"/>
      <c r="Z21" s="14"/>
    </row>
    <row r="22" spans="1:26">
      <c r="A22" s="424">
        <v>2032</v>
      </c>
      <c r="B22" s="111">
        <f t="shared" si="5"/>
        <v>2.4753210478457381</v>
      </c>
      <c r="C22" s="111">
        <f t="shared" si="0"/>
        <v>2.8868875857052583</v>
      </c>
      <c r="D22" s="111">
        <f t="shared" si="1"/>
        <v>3.3122952953283198</v>
      </c>
      <c r="E22" s="111">
        <f t="shared" si="2"/>
        <v>3.863023819312335</v>
      </c>
      <c r="F22" s="111">
        <f t="shared" si="3"/>
        <v>4.4077498287489512</v>
      </c>
      <c r="G22" s="111">
        <f t="shared" si="4"/>
        <v>5.1406173241988329</v>
      </c>
    </row>
    <row r="23" spans="1:26">
      <c r="A23" s="424">
        <v>2033</v>
      </c>
      <c r="B23" s="111">
        <f t="shared" si="5"/>
        <v>2.5248274688026529</v>
      </c>
      <c r="C23" s="111">
        <f t="shared" si="0"/>
        <v>2.9446253374193634</v>
      </c>
      <c r="D23" s="111">
        <f t="shared" si="1"/>
        <v>3.4447871071414524</v>
      </c>
      <c r="E23" s="111">
        <f t="shared" si="2"/>
        <v>4.0175447720848281</v>
      </c>
      <c r="F23" s="111">
        <f t="shared" si="3"/>
        <v>4.6722148184738881</v>
      </c>
      <c r="G23" s="111">
        <f t="shared" si="4"/>
        <v>5.4490543636507631</v>
      </c>
    </row>
    <row r="24" spans="1:26">
      <c r="A24" s="424">
        <v>2034</v>
      </c>
      <c r="B24" s="111">
        <f t="shared" si="5"/>
        <v>2.5753240181787058</v>
      </c>
      <c r="C24" s="111">
        <f t="shared" si="0"/>
        <v>3.0035178441677508</v>
      </c>
      <c r="D24" s="111">
        <f t="shared" si="1"/>
        <v>3.5825785914271107</v>
      </c>
      <c r="E24" s="111">
        <f t="shared" si="2"/>
        <v>4.1782465629682211</v>
      </c>
      <c r="F24" s="111">
        <f t="shared" si="3"/>
        <v>4.9525477075823217</v>
      </c>
      <c r="G24" s="111">
        <f t="shared" si="4"/>
        <v>5.7759976254698087</v>
      </c>
    </row>
    <row r="25" spans="1:26">
      <c r="A25" s="424">
        <v>2035</v>
      </c>
      <c r="B25" s="111">
        <f t="shared" si="5"/>
        <v>2.6268304985422799</v>
      </c>
      <c r="C25" s="111">
        <f t="shared" si="0"/>
        <v>3.0635882010511057</v>
      </c>
      <c r="D25" s="111">
        <f t="shared" si="1"/>
        <v>3.7258817350841951</v>
      </c>
      <c r="E25" s="111">
        <f t="shared" si="2"/>
        <v>4.3453764254869496</v>
      </c>
      <c r="F25" s="111">
        <f t="shared" si="3"/>
        <v>5.2497005700372608</v>
      </c>
      <c r="G25" s="111">
        <f t="shared" si="4"/>
        <v>6.1225574829979976</v>
      </c>
    </row>
    <row r="26" spans="1:26">
      <c r="A26" s="424">
        <v>2036</v>
      </c>
      <c r="B26" s="111">
        <f t="shared" si="5"/>
        <v>2.6793671085131257</v>
      </c>
      <c r="C26" s="111">
        <f t="shared" si="0"/>
        <v>3.1248599650721278</v>
      </c>
      <c r="D26" s="111">
        <f t="shared" si="1"/>
        <v>3.8749170044875627</v>
      </c>
      <c r="E26" s="111">
        <f t="shared" si="2"/>
        <v>4.5191914825064279</v>
      </c>
      <c r="F26" s="111">
        <f t="shared" si="3"/>
        <v>5.5646826042394961</v>
      </c>
      <c r="G26" s="111">
        <f t="shared" si="4"/>
        <v>6.4899109319778772</v>
      </c>
    </row>
    <row r="27" spans="1:26">
      <c r="A27" s="424">
        <v>2037</v>
      </c>
      <c r="B27" s="111">
        <f t="shared" si="5"/>
        <v>2.7329544506833883</v>
      </c>
      <c r="C27" s="111">
        <f t="shared" si="0"/>
        <v>3.1873571643735703</v>
      </c>
      <c r="D27" s="111">
        <f t="shared" si="1"/>
        <v>4.0299136846670649</v>
      </c>
      <c r="E27" s="111">
        <f t="shared" si="2"/>
        <v>4.6999591418066853</v>
      </c>
      <c r="F27" s="111">
        <f t="shared" si="3"/>
        <v>5.8985635604938658</v>
      </c>
      <c r="G27" s="111">
        <f t="shared" si="4"/>
        <v>6.8793055878965497</v>
      </c>
    </row>
    <row r="28" spans="1:26">
      <c r="A28" s="424">
        <v>2038</v>
      </c>
      <c r="B28" s="111">
        <f t="shared" si="5"/>
        <v>2.7876135396970558</v>
      </c>
      <c r="C28" s="111">
        <f t="shared" si="0"/>
        <v>3.2511043076610417</v>
      </c>
      <c r="D28" s="111">
        <f t="shared" si="1"/>
        <v>4.1911102320537479</v>
      </c>
      <c r="E28" s="111">
        <f t="shared" si="2"/>
        <v>4.8879575074789523</v>
      </c>
      <c r="F28" s="111">
        <f t="shared" si="3"/>
        <v>6.2524773741234974</v>
      </c>
      <c r="G28" s="111">
        <f t="shared" si="4"/>
        <v>7.2920639231703426</v>
      </c>
    </row>
    <row r="29" spans="1:26">
      <c r="A29" s="424">
        <v>2039</v>
      </c>
      <c r="B29" s="111">
        <f t="shared" si="5"/>
        <v>2.8433658104909969</v>
      </c>
      <c r="C29" s="111">
        <f t="shared" si="0"/>
        <v>3.3161263938142627</v>
      </c>
      <c r="D29" s="111">
        <f t="shared" si="1"/>
        <v>4.3587546413358975</v>
      </c>
      <c r="E29" s="111">
        <f t="shared" si="2"/>
        <v>5.0834758077781101</v>
      </c>
      <c r="F29" s="111">
        <f t="shared" si="3"/>
        <v>6.6276260165709076</v>
      </c>
      <c r="G29" s="111">
        <f t="shared" si="4"/>
        <v>7.7295877585605632</v>
      </c>
    </row>
    <row r="30" spans="1:26">
      <c r="A30" s="424">
        <v>2040</v>
      </c>
      <c r="B30" s="111">
        <f t="shared" si="5"/>
        <v>2.900233126700817</v>
      </c>
      <c r="C30" s="111">
        <f t="shared" si="0"/>
        <v>3.382448921690548</v>
      </c>
      <c r="D30" s="111">
        <f t="shared" si="1"/>
        <v>4.5331048269893337</v>
      </c>
      <c r="E30" s="111">
        <f t="shared" si="2"/>
        <v>5.2868148400892343</v>
      </c>
      <c r="F30" s="111">
        <f t="shared" si="3"/>
        <v>7.0252835775651619</v>
      </c>
      <c r="G30" s="111">
        <f t="shared" si="4"/>
        <v>8.1933630240741966</v>
      </c>
    </row>
    <row r="31" spans="1:26">
      <c r="A31" s="424">
        <v>2041</v>
      </c>
      <c r="B31" s="111">
        <f t="shared" si="5"/>
        <v>2.9582377892348335</v>
      </c>
      <c r="C31" s="111">
        <f t="shared" si="0"/>
        <v>3.450097900124359</v>
      </c>
      <c r="D31" s="111">
        <f t="shared" si="1"/>
        <v>4.7144290200689074</v>
      </c>
      <c r="E31" s="111">
        <f t="shared" si="2"/>
        <v>5.4982874336928038</v>
      </c>
      <c r="F31" s="111">
        <f t="shared" si="3"/>
        <v>7.4468005922190716</v>
      </c>
      <c r="G31" s="111">
        <f t="shared" si="4"/>
        <v>8.6849648055186481</v>
      </c>
    </row>
    <row r="32" spans="1:26">
      <c r="A32" s="424">
        <v>2042</v>
      </c>
      <c r="B32" s="111">
        <f t="shared" si="5"/>
        <v>3.0174025450195301</v>
      </c>
      <c r="C32" s="111">
        <f t="shared" si="0"/>
        <v>3.5190998581268462</v>
      </c>
      <c r="D32" s="111">
        <f t="shared" si="1"/>
        <v>4.9030061808716638</v>
      </c>
      <c r="E32" s="111">
        <f t="shared" si="2"/>
        <v>5.718218931040516</v>
      </c>
      <c r="F32" s="111">
        <f t="shared" si="3"/>
        <v>7.8936086277522159</v>
      </c>
      <c r="G32" s="111">
        <f t="shared" si="4"/>
        <v>9.2060626938497663</v>
      </c>
    </row>
    <row r="33" spans="1:7">
      <c r="A33" s="424">
        <v>2043</v>
      </c>
      <c r="B33" s="111">
        <f t="shared" si="5"/>
        <v>3.0777505959199205</v>
      </c>
      <c r="C33" s="111">
        <f t="shared" si="0"/>
        <v>3.589481855289383</v>
      </c>
      <c r="D33" s="111">
        <f t="shared" si="1"/>
        <v>5.0991264281065307</v>
      </c>
      <c r="E33" s="111">
        <f t="shared" si="2"/>
        <v>5.9469476882821368</v>
      </c>
      <c r="F33" s="111">
        <f t="shared" si="3"/>
        <v>8.3672251454173487</v>
      </c>
      <c r="G33" s="111">
        <f t="shared" si="4"/>
        <v>9.7584264554807518</v>
      </c>
    </row>
    <row r="34" spans="1:7">
      <c r="A34" s="424">
        <v>2044</v>
      </c>
      <c r="B34" s="111">
        <f t="shared" si="5"/>
        <v>3.139305607838319</v>
      </c>
      <c r="C34" s="111">
        <f t="shared" si="0"/>
        <v>3.6612714923951706</v>
      </c>
      <c r="D34" s="111">
        <f t="shared" si="1"/>
        <v>5.3030914852307918</v>
      </c>
      <c r="E34" s="111">
        <f t="shared" si="2"/>
        <v>6.1848255958134226</v>
      </c>
      <c r="F34" s="111">
        <f t="shared" si="3"/>
        <v>8.8692586541423903</v>
      </c>
      <c r="G34" s="111">
        <f t="shared" si="4"/>
        <v>10.343932042809596</v>
      </c>
    </row>
    <row r="35" spans="1:7">
      <c r="A35" s="424">
        <v>2045</v>
      </c>
      <c r="B35" s="111">
        <f t="shared" si="5"/>
        <v>3.2020917199950856</v>
      </c>
      <c r="C35" s="111">
        <f t="shared" si="0"/>
        <v>3.7344969222430739</v>
      </c>
      <c r="D35" s="111">
        <f t="shared" si="1"/>
        <v>5.515215144640023</v>
      </c>
      <c r="E35" s="111">
        <f t="shared" si="2"/>
        <v>6.4322186196459592</v>
      </c>
      <c r="F35" s="111">
        <f t="shared" si="3"/>
        <v>9.4014141733909344</v>
      </c>
      <c r="G35" s="111">
        <f t="shared" si="4"/>
        <v>10.964567965378173</v>
      </c>
    </row>
    <row r="36" spans="1:7">
      <c r="A36" s="424">
        <v>2046</v>
      </c>
      <c r="B36" s="111">
        <f t="shared" si="5"/>
        <v>3.2661335543949872</v>
      </c>
      <c r="C36" s="111">
        <f t="shared" si="0"/>
        <v>3.8091868606879355</v>
      </c>
      <c r="D36" s="111">
        <f t="shared" si="1"/>
        <v>5.7358237504256238</v>
      </c>
      <c r="E36" s="111">
        <f t="shared" si="2"/>
        <v>6.6895073644317975</v>
      </c>
      <c r="F36" s="111">
        <f t="shared" si="3"/>
        <v>9.9654990237943899</v>
      </c>
      <c r="G36" s="111">
        <f t="shared" si="4"/>
        <v>11.622442043300863</v>
      </c>
    </row>
    <row r="37" spans="1:7">
      <c r="A37" s="424">
        <v>2047</v>
      </c>
      <c r="B37" s="111">
        <f t="shared" si="5"/>
        <v>3.3314562254828868</v>
      </c>
      <c r="C37" s="111">
        <f t="shared" si="0"/>
        <v>3.8853705979016944</v>
      </c>
      <c r="D37" s="111">
        <f t="shared" si="1"/>
        <v>5.9652567004426489</v>
      </c>
      <c r="E37" s="111">
        <f t="shared" si="2"/>
        <v>6.9570876590090691</v>
      </c>
      <c r="F37" s="111">
        <f t="shared" si="3"/>
        <v>10.563428965222053</v>
      </c>
      <c r="G37" s="111">
        <f t="shared" si="4"/>
        <v>12.319788565898914</v>
      </c>
    </row>
    <row r="38" spans="1:7">
      <c r="A38" s="101"/>
      <c r="B38" s="9"/>
      <c r="C38" s="9"/>
      <c r="D38" s="9"/>
      <c r="E38" s="9"/>
      <c r="F38" s="9"/>
      <c r="G38" s="9"/>
    </row>
    <row r="39" spans="1:7">
      <c r="A39" s="101"/>
      <c r="B39" s="9"/>
      <c r="C39" s="9"/>
      <c r="D39" s="9"/>
      <c r="E39" s="9"/>
      <c r="F39" s="9"/>
      <c r="G39" s="9"/>
    </row>
    <row r="40" spans="1:7">
      <c r="D40" s="5"/>
    </row>
    <row r="42" spans="1:7">
      <c r="D42" s="112"/>
      <c r="E42" s="113"/>
    </row>
    <row r="43" spans="1:7">
      <c r="D43" s="112"/>
      <c r="E43" s="113"/>
    </row>
    <row r="44" spans="1:7">
      <c r="D44" s="112"/>
      <c r="E44" s="113"/>
    </row>
    <row r="46" spans="1:7">
      <c r="D46" s="5"/>
    </row>
    <row r="48" spans="1:7">
      <c r="D48" s="112"/>
      <c r="E48" s="113"/>
    </row>
    <row r="54" spans="1:6">
      <c r="A54" s="14"/>
      <c r="B54" s="14"/>
      <c r="C54" s="14"/>
      <c r="D54" s="14"/>
      <c r="E54" s="14"/>
      <c r="F54" s="14"/>
    </row>
  </sheetData>
  <mergeCells count="4">
    <mergeCell ref="A4:G4"/>
    <mergeCell ref="B5:C5"/>
    <mergeCell ref="D5:E5"/>
    <mergeCell ref="F5:G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dimension ref="A1:J56"/>
  <sheetViews>
    <sheetView topLeftCell="J48" workbookViewId="0">
      <selection activeCell="X66" sqref="X66"/>
    </sheetView>
  </sheetViews>
  <sheetFormatPr baseColWidth="10" defaultRowHeight="15"/>
  <cols>
    <col min="2" max="3" width="12.42578125" customWidth="1"/>
    <col min="4" max="4" width="15.85546875" customWidth="1"/>
    <col min="5" max="5" width="17" customWidth="1"/>
    <col min="6" max="6" width="14.85546875" customWidth="1"/>
    <col min="7" max="7" width="18.28515625" customWidth="1"/>
    <col min="8" max="8" width="19.7109375" customWidth="1"/>
    <col min="9" max="9" width="13.28515625" customWidth="1"/>
    <col min="10" max="10" width="16.85546875" customWidth="1"/>
  </cols>
  <sheetData>
    <row r="1" spans="1:10">
      <c r="B1" s="16"/>
      <c r="C1" s="16"/>
      <c r="D1" s="16"/>
      <c r="E1" s="16"/>
    </row>
    <row r="2" spans="1:10">
      <c r="A2" s="619" t="s">
        <v>435</v>
      </c>
      <c r="B2" s="619"/>
      <c r="C2" s="619"/>
      <c r="D2" s="619"/>
      <c r="E2" s="619"/>
      <c r="F2" s="619"/>
      <c r="G2" s="619"/>
      <c r="H2" s="619"/>
      <c r="I2" s="619"/>
      <c r="J2" s="619"/>
    </row>
    <row r="3" spans="1:10" ht="42" customHeight="1">
      <c r="A3" s="44" t="s">
        <v>79</v>
      </c>
      <c r="B3" s="617" t="s">
        <v>426</v>
      </c>
      <c r="C3" s="620"/>
      <c r="D3" s="618"/>
      <c r="E3" s="617" t="s">
        <v>428</v>
      </c>
      <c r="F3" s="620"/>
      <c r="G3" s="618"/>
      <c r="H3" s="617" t="s">
        <v>427</v>
      </c>
      <c r="I3" s="620"/>
      <c r="J3" s="618"/>
    </row>
    <row r="4" spans="1:10">
      <c r="A4" s="44"/>
      <c r="B4" s="44" t="s">
        <v>207</v>
      </c>
      <c r="C4" s="44" t="s">
        <v>186</v>
      </c>
      <c r="D4" s="44" t="s">
        <v>185</v>
      </c>
      <c r="E4" s="44" t="s">
        <v>207</v>
      </c>
      <c r="F4" s="44" t="s">
        <v>186</v>
      </c>
      <c r="G4" s="44" t="s">
        <v>185</v>
      </c>
      <c r="H4" s="44" t="s">
        <v>207</v>
      </c>
      <c r="I4" s="44" t="s">
        <v>186</v>
      </c>
      <c r="J4" s="44" t="s">
        <v>185</v>
      </c>
    </row>
    <row r="5" spans="1:10">
      <c r="A5" s="38">
        <v>2017</v>
      </c>
      <c r="B5" s="114">
        <f>'[2]DEMANDA HORARIA PARQUE INDUST.'!E61</f>
        <v>2554.2706859999994</v>
      </c>
      <c r="C5" s="114">
        <f>'[2]DEMANDA HORARIA PARQUE INDUST.'!D61</f>
        <v>7582.8047724000007</v>
      </c>
      <c r="D5" s="114">
        <f>'[2]DEMANDA HORARIA PARQUE INDUST.'!F61</f>
        <v>2926.9535328000011</v>
      </c>
      <c r="E5" s="114">
        <f>B5</f>
        <v>2554.2706859999994</v>
      </c>
      <c r="F5" s="114">
        <f>C5</f>
        <v>7582.8047724000007</v>
      </c>
      <c r="G5" s="114">
        <f>D5</f>
        <v>2926.9535328000011</v>
      </c>
      <c r="H5" s="114">
        <f>B5</f>
        <v>2554.2706859999994</v>
      </c>
      <c r="I5" s="114">
        <f t="shared" ref="I5:J5" si="0">C5</f>
        <v>7582.8047724000007</v>
      </c>
      <c r="J5" s="114">
        <f t="shared" si="0"/>
        <v>2926.9535328000011</v>
      </c>
    </row>
    <row r="6" spans="1:10">
      <c r="A6" s="38">
        <v>2018</v>
      </c>
      <c r="B6" s="114">
        <f>B5*2%+B5</f>
        <v>2605.3560997199993</v>
      </c>
      <c r="C6" s="114">
        <f>C5*2%+C5</f>
        <v>7734.4608678480008</v>
      </c>
      <c r="D6" s="114">
        <f>D5*2%+D5</f>
        <v>2985.4926034560012</v>
      </c>
      <c r="E6" s="114">
        <f>E5*4%+E5</f>
        <v>2656.4415134399992</v>
      </c>
      <c r="F6" s="114">
        <f>F5*4%+F5</f>
        <v>7886.1169632960009</v>
      </c>
      <c r="G6" s="114">
        <f>G5*4%+G5</f>
        <v>3044.0316741120009</v>
      </c>
      <c r="H6" s="114">
        <f>H5*6%+H5</f>
        <v>2707.5269271599991</v>
      </c>
      <c r="I6" s="114">
        <f>I5*6%+I5</f>
        <v>8037.773058744001</v>
      </c>
      <c r="J6" s="114">
        <f>J5*6%+J5</f>
        <v>3102.5707447680011</v>
      </c>
    </row>
    <row r="7" spans="1:10">
      <c r="A7" s="424">
        <v>2019</v>
      </c>
      <c r="B7" s="114">
        <f t="shared" ref="B7:B35" si="1">B6*2%+B6</f>
        <v>2657.4632217143994</v>
      </c>
      <c r="C7" s="114">
        <f t="shared" ref="C7:C35" si="2">C6*2%+C6</f>
        <v>7889.1500852049612</v>
      </c>
      <c r="D7" s="114">
        <f t="shared" ref="D7:D35" si="3">D6*2%+D6</f>
        <v>3045.2024555251214</v>
      </c>
      <c r="E7" s="114">
        <f t="shared" ref="E7:E35" si="4">E6*4%+E6</f>
        <v>2762.699173977599</v>
      </c>
      <c r="F7" s="114">
        <f t="shared" ref="F7:F35" si="5">F6*4%+F6</f>
        <v>8201.5616418278405</v>
      </c>
      <c r="G7" s="114">
        <f t="shared" ref="G7:G35" si="6">G6*4%+G6</f>
        <v>3165.7929410764809</v>
      </c>
      <c r="H7" s="114">
        <f t="shared" ref="H7:H35" si="7">H6*6%+H6</f>
        <v>2869.978542789599</v>
      </c>
      <c r="I7" s="114">
        <f t="shared" ref="I7:I35" si="8">I6*6%+I6</f>
        <v>8520.0394422686404</v>
      </c>
      <c r="J7" s="114">
        <f t="shared" ref="J7:J35" si="9">J6*6%+J6</f>
        <v>3288.724989454081</v>
      </c>
    </row>
    <row r="8" spans="1:10">
      <c r="A8" s="424">
        <v>2020</v>
      </c>
      <c r="B8" s="114">
        <f t="shared" si="1"/>
        <v>2710.6124861486874</v>
      </c>
      <c r="C8" s="114">
        <f t="shared" si="2"/>
        <v>8046.9330869090609</v>
      </c>
      <c r="D8" s="114">
        <f t="shared" si="3"/>
        <v>3106.1065046356239</v>
      </c>
      <c r="E8" s="114">
        <f t="shared" si="4"/>
        <v>2873.2071409367031</v>
      </c>
      <c r="F8" s="114">
        <f t="shared" si="5"/>
        <v>8529.6241075009548</v>
      </c>
      <c r="G8" s="114">
        <f t="shared" si="6"/>
        <v>3292.4246587195403</v>
      </c>
      <c r="H8" s="114">
        <f t="shared" si="7"/>
        <v>3042.1772553569749</v>
      </c>
      <c r="I8" s="114">
        <f t="shared" si="8"/>
        <v>9031.241808804758</v>
      </c>
      <c r="J8" s="114">
        <f t="shared" si="9"/>
        <v>3486.0484888213259</v>
      </c>
    </row>
    <row r="9" spans="1:10">
      <c r="A9" s="424">
        <v>2021</v>
      </c>
      <c r="B9" s="114">
        <f t="shared" si="1"/>
        <v>2764.8247358716612</v>
      </c>
      <c r="C9" s="114">
        <f t="shared" si="2"/>
        <v>8207.8717486472415</v>
      </c>
      <c r="D9" s="114">
        <f t="shared" si="3"/>
        <v>3168.2286347283361</v>
      </c>
      <c r="E9" s="114">
        <f t="shared" si="4"/>
        <v>2988.1354265741711</v>
      </c>
      <c r="F9" s="114">
        <f t="shared" si="5"/>
        <v>8870.8090718009935</v>
      </c>
      <c r="G9" s="114">
        <f t="shared" si="6"/>
        <v>3424.1216450683219</v>
      </c>
      <c r="H9" s="114">
        <f t="shared" si="7"/>
        <v>3224.7078906783936</v>
      </c>
      <c r="I9" s="114">
        <f t="shared" si="8"/>
        <v>9573.1163173330442</v>
      </c>
      <c r="J9" s="114">
        <f t="shared" si="9"/>
        <v>3695.2113981506054</v>
      </c>
    </row>
    <row r="10" spans="1:10">
      <c r="A10" s="424">
        <v>2022</v>
      </c>
      <c r="B10" s="114">
        <f t="shared" si="1"/>
        <v>2820.1212305890945</v>
      </c>
      <c r="C10" s="114">
        <f t="shared" si="2"/>
        <v>8372.0291836201868</v>
      </c>
      <c r="D10" s="114">
        <f t="shared" si="3"/>
        <v>3231.5932074229027</v>
      </c>
      <c r="E10" s="114">
        <f t="shared" si="4"/>
        <v>3107.660843637138</v>
      </c>
      <c r="F10" s="114">
        <f t="shared" si="5"/>
        <v>9225.6414346730326</v>
      </c>
      <c r="G10" s="114">
        <f t="shared" si="6"/>
        <v>3561.0865108710545</v>
      </c>
      <c r="H10" s="114">
        <f t="shared" si="7"/>
        <v>3418.190364119097</v>
      </c>
      <c r="I10" s="114">
        <f t="shared" si="8"/>
        <v>10147.503296373026</v>
      </c>
      <c r="J10" s="114">
        <f t="shared" si="9"/>
        <v>3916.9240820396417</v>
      </c>
    </row>
    <row r="11" spans="1:10">
      <c r="A11" s="424">
        <v>2023</v>
      </c>
      <c r="B11" s="114">
        <f t="shared" si="1"/>
        <v>2876.5236552008764</v>
      </c>
      <c r="C11" s="114">
        <f t="shared" si="2"/>
        <v>8539.4697672925904</v>
      </c>
      <c r="D11" s="114">
        <f t="shared" si="3"/>
        <v>3296.2250715713608</v>
      </c>
      <c r="E11" s="114">
        <f t="shared" si="4"/>
        <v>3231.9672773826237</v>
      </c>
      <c r="F11" s="114">
        <f t="shared" si="5"/>
        <v>9594.6670920599536</v>
      </c>
      <c r="G11" s="114">
        <f t="shared" si="6"/>
        <v>3703.5299713058967</v>
      </c>
      <c r="H11" s="114">
        <f t="shared" si="7"/>
        <v>3623.2817859662428</v>
      </c>
      <c r="I11" s="114">
        <f t="shared" si="8"/>
        <v>10756.353494155408</v>
      </c>
      <c r="J11" s="114">
        <f t="shared" si="9"/>
        <v>4151.93952696202</v>
      </c>
    </row>
    <row r="12" spans="1:10">
      <c r="A12" s="424">
        <v>2024</v>
      </c>
      <c r="B12" s="114">
        <f t="shared" si="1"/>
        <v>2934.0541283048938</v>
      </c>
      <c r="C12" s="114">
        <f t="shared" si="2"/>
        <v>8710.2591626384419</v>
      </c>
      <c r="D12" s="114">
        <f t="shared" si="3"/>
        <v>3362.1495730027882</v>
      </c>
      <c r="E12" s="114">
        <f t="shared" si="4"/>
        <v>3361.2459684779287</v>
      </c>
      <c r="F12" s="114">
        <f t="shared" si="5"/>
        <v>9978.4537757423514</v>
      </c>
      <c r="G12" s="114">
        <f t="shared" si="6"/>
        <v>3851.6711701581326</v>
      </c>
      <c r="H12" s="114">
        <f t="shared" si="7"/>
        <v>3840.6786931242173</v>
      </c>
      <c r="I12" s="114">
        <f t="shared" si="8"/>
        <v>11401.734703804732</v>
      </c>
      <c r="J12" s="114">
        <f t="shared" si="9"/>
        <v>4401.0558985797416</v>
      </c>
    </row>
    <row r="13" spans="1:10">
      <c r="A13" s="424">
        <v>2025</v>
      </c>
      <c r="B13" s="114">
        <f t="shared" si="1"/>
        <v>2992.7352108709915</v>
      </c>
      <c r="C13" s="114">
        <f t="shared" si="2"/>
        <v>8884.4643458912105</v>
      </c>
      <c r="D13" s="114">
        <f t="shared" si="3"/>
        <v>3429.3925644628439</v>
      </c>
      <c r="E13" s="114">
        <f t="shared" si="4"/>
        <v>3495.695807217046</v>
      </c>
      <c r="F13" s="114">
        <f t="shared" si="5"/>
        <v>10377.591926772046</v>
      </c>
      <c r="G13" s="114">
        <f t="shared" si="6"/>
        <v>4005.738016964458</v>
      </c>
      <c r="H13" s="114">
        <f t="shared" si="7"/>
        <v>4071.1194147116703</v>
      </c>
      <c r="I13" s="114">
        <f t="shared" si="8"/>
        <v>12085.838786033015</v>
      </c>
      <c r="J13" s="114">
        <f t="shared" si="9"/>
        <v>4665.1192524945263</v>
      </c>
    </row>
    <row r="14" spans="1:10">
      <c r="A14" s="424">
        <v>2026</v>
      </c>
      <c r="B14" s="114">
        <f t="shared" si="1"/>
        <v>3052.5899150884115</v>
      </c>
      <c r="C14" s="114">
        <f t="shared" si="2"/>
        <v>9062.1536328090351</v>
      </c>
      <c r="D14" s="114">
        <f t="shared" si="3"/>
        <v>3497.9804157521007</v>
      </c>
      <c r="E14" s="114">
        <f t="shared" si="4"/>
        <v>3635.5236395057277</v>
      </c>
      <c r="F14" s="114">
        <f t="shared" si="5"/>
        <v>10792.695603842927</v>
      </c>
      <c r="G14" s="114">
        <f t="shared" si="6"/>
        <v>4165.9675376430359</v>
      </c>
      <c r="H14" s="114">
        <f t="shared" si="7"/>
        <v>4315.3865795943702</v>
      </c>
      <c r="I14" s="114">
        <f t="shared" si="8"/>
        <v>12810.989113194995</v>
      </c>
      <c r="J14" s="114">
        <f t="shared" si="9"/>
        <v>4945.0264076441981</v>
      </c>
    </row>
    <row r="15" spans="1:10">
      <c r="A15" s="424">
        <v>2027</v>
      </c>
      <c r="B15" s="114">
        <f t="shared" si="1"/>
        <v>3113.6417133901796</v>
      </c>
      <c r="C15" s="114">
        <f t="shared" si="2"/>
        <v>9243.3967054652167</v>
      </c>
      <c r="D15" s="114">
        <f t="shared" si="3"/>
        <v>3567.9400240671425</v>
      </c>
      <c r="E15" s="114">
        <f t="shared" si="4"/>
        <v>3780.944585085957</v>
      </c>
      <c r="F15" s="114">
        <f t="shared" si="5"/>
        <v>11224.403427996644</v>
      </c>
      <c r="G15" s="114">
        <f t="shared" si="6"/>
        <v>4332.6062391487576</v>
      </c>
      <c r="H15" s="114">
        <f t="shared" si="7"/>
        <v>4574.3097743700328</v>
      </c>
      <c r="I15" s="114">
        <f t="shared" si="8"/>
        <v>13579.648459986694</v>
      </c>
      <c r="J15" s="114">
        <f t="shared" si="9"/>
        <v>5241.7279921028503</v>
      </c>
    </row>
    <row r="16" spans="1:10">
      <c r="A16" s="424">
        <v>2028</v>
      </c>
      <c r="B16" s="114">
        <f t="shared" si="1"/>
        <v>3175.9145476579833</v>
      </c>
      <c r="C16" s="114">
        <f t="shared" si="2"/>
        <v>9428.2646395745214</v>
      </c>
      <c r="D16" s="114">
        <f t="shared" si="3"/>
        <v>3639.2988245484853</v>
      </c>
      <c r="E16" s="114">
        <f t="shared" si="4"/>
        <v>3932.1823684893952</v>
      </c>
      <c r="F16" s="114">
        <f t="shared" si="5"/>
        <v>11673.379565116509</v>
      </c>
      <c r="G16" s="114">
        <f t="shared" si="6"/>
        <v>4505.9104887147078</v>
      </c>
      <c r="H16" s="114">
        <f t="shared" si="7"/>
        <v>4848.768360832235</v>
      </c>
      <c r="I16" s="114">
        <f t="shared" si="8"/>
        <v>14394.427367585897</v>
      </c>
      <c r="J16" s="114">
        <f t="shared" si="9"/>
        <v>5556.2316716290215</v>
      </c>
    </row>
    <row r="17" spans="1:10">
      <c r="A17" s="424">
        <v>2029</v>
      </c>
      <c r="B17" s="114">
        <f t="shared" si="1"/>
        <v>3239.4328386111429</v>
      </c>
      <c r="C17" s="114">
        <f t="shared" si="2"/>
        <v>9616.8299323660121</v>
      </c>
      <c r="D17" s="114">
        <f t="shared" si="3"/>
        <v>3712.0848010394552</v>
      </c>
      <c r="E17" s="114">
        <f t="shared" si="4"/>
        <v>4089.4696632289711</v>
      </c>
      <c r="F17" s="114">
        <f t="shared" si="5"/>
        <v>12140.31474772117</v>
      </c>
      <c r="G17" s="114">
        <f t="shared" si="6"/>
        <v>4686.1469082632957</v>
      </c>
      <c r="H17" s="114">
        <f t="shared" si="7"/>
        <v>5139.694462482169</v>
      </c>
      <c r="I17" s="114">
        <f t="shared" si="8"/>
        <v>15258.09300964105</v>
      </c>
      <c r="J17" s="114">
        <f t="shared" si="9"/>
        <v>5889.6055719267624</v>
      </c>
    </row>
    <row r="18" spans="1:10">
      <c r="A18" s="424">
        <v>2030</v>
      </c>
      <c r="B18" s="114">
        <f t="shared" si="1"/>
        <v>3304.2214953833659</v>
      </c>
      <c r="C18" s="114">
        <f t="shared" si="2"/>
        <v>9809.1665310133321</v>
      </c>
      <c r="D18" s="114">
        <f t="shared" si="3"/>
        <v>3786.3264970602445</v>
      </c>
      <c r="E18" s="114">
        <f t="shared" si="4"/>
        <v>4253.0484497581301</v>
      </c>
      <c r="F18" s="114">
        <f t="shared" si="5"/>
        <v>12625.927337630017</v>
      </c>
      <c r="G18" s="114">
        <f t="shared" si="6"/>
        <v>4873.5927845938277</v>
      </c>
      <c r="H18" s="114">
        <f t="shared" si="7"/>
        <v>5448.0761302310993</v>
      </c>
      <c r="I18" s="114">
        <f t="shared" si="8"/>
        <v>16173.578590219513</v>
      </c>
      <c r="J18" s="114">
        <f t="shared" si="9"/>
        <v>6242.9819062423685</v>
      </c>
    </row>
    <row r="19" spans="1:10">
      <c r="A19" s="424">
        <v>2031</v>
      </c>
      <c r="B19" s="114">
        <f t="shared" si="1"/>
        <v>3370.3059252910334</v>
      </c>
      <c r="C19" s="114">
        <f t="shared" si="2"/>
        <v>10005.349861633598</v>
      </c>
      <c r="D19" s="114">
        <f t="shared" si="3"/>
        <v>3862.0530270014492</v>
      </c>
      <c r="E19" s="114">
        <f t="shared" si="4"/>
        <v>4423.1703877484551</v>
      </c>
      <c r="F19" s="114">
        <f t="shared" si="5"/>
        <v>13130.964431135219</v>
      </c>
      <c r="G19" s="114">
        <f t="shared" si="6"/>
        <v>5068.5364959775807</v>
      </c>
      <c r="H19" s="114">
        <f t="shared" si="7"/>
        <v>5774.9606980449653</v>
      </c>
      <c r="I19" s="114">
        <f t="shared" si="8"/>
        <v>17143.993305632684</v>
      </c>
      <c r="J19" s="114">
        <f t="shared" si="9"/>
        <v>6617.5608206169109</v>
      </c>
    </row>
    <row r="20" spans="1:10">
      <c r="A20" s="424">
        <v>2032</v>
      </c>
      <c r="B20" s="114">
        <f t="shared" si="1"/>
        <v>3437.7120437968542</v>
      </c>
      <c r="C20" s="114">
        <f t="shared" si="2"/>
        <v>10205.45685886627</v>
      </c>
      <c r="D20" s="114">
        <f t="shared" si="3"/>
        <v>3939.2940875414783</v>
      </c>
      <c r="E20" s="114">
        <f t="shared" si="4"/>
        <v>4600.0972032583932</v>
      </c>
      <c r="F20" s="114">
        <f t="shared" si="5"/>
        <v>13656.203008380628</v>
      </c>
      <c r="G20" s="114">
        <f t="shared" si="6"/>
        <v>5271.277955816684</v>
      </c>
      <c r="H20" s="114">
        <f t="shared" si="7"/>
        <v>6121.4583399276635</v>
      </c>
      <c r="I20" s="114">
        <f t="shared" si="8"/>
        <v>18172.632903970647</v>
      </c>
      <c r="J20" s="114">
        <f t="shared" si="9"/>
        <v>7014.6144698539256</v>
      </c>
    </row>
    <row r="21" spans="1:10">
      <c r="A21" s="424">
        <v>2033</v>
      </c>
      <c r="B21" s="114">
        <f t="shared" si="1"/>
        <v>3506.4662846727915</v>
      </c>
      <c r="C21" s="114">
        <f t="shared" si="2"/>
        <v>10409.565996043595</v>
      </c>
      <c r="D21" s="114">
        <f t="shared" si="3"/>
        <v>4018.0799692923079</v>
      </c>
      <c r="E21" s="114">
        <f t="shared" si="4"/>
        <v>4784.1010913887285</v>
      </c>
      <c r="F21" s="114">
        <f t="shared" si="5"/>
        <v>14202.451128715853</v>
      </c>
      <c r="G21" s="114">
        <f t="shared" si="6"/>
        <v>5482.1290740493514</v>
      </c>
      <c r="H21" s="114">
        <f t="shared" si="7"/>
        <v>6488.7458403233231</v>
      </c>
      <c r="I21" s="114">
        <f t="shared" si="8"/>
        <v>19262.990878208886</v>
      </c>
      <c r="J21" s="114">
        <f t="shared" si="9"/>
        <v>7435.4913380451608</v>
      </c>
    </row>
    <row r="22" spans="1:10">
      <c r="A22" s="424">
        <v>2034</v>
      </c>
      <c r="B22" s="114">
        <f t="shared" si="1"/>
        <v>3576.5956103662475</v>
      </c>
      <c r="C22" s="114">
        <f t="shared" si="2"/>
        <v>10617.757315964467</v>
      </c>
      <c r="D22" s="114">
        <f t="shared" si="3"/>
        <v>4098.441568678154</v>
      </c>
      <c r="E22" s="114">
        <f t="shared" si="4"/>
        <v>4975.4651350442773</v>
      </c>
      <c r="F22" s="114">
        <f t="shared" si="5"/>
        <v>14770.549173864487</v>
      </c>
      <c r="G22" s="114">
        <f t="shared" si="6"/>
        <v>5701.4142370113259</v>
      </c>
      <c r="H22" s="114">
        <f t="shared" si="7"/>
        <v>6878.0705907427227</v>
      </c>
      <c r="I22" s="114">
        <f t="shared" si="8"/>
        <v>20418.770330901418</v>
      </c>
      <c r="J22" s="114">
        <f t="shared" si="9"/>
        <v>7881.6208183278704</v>
      </c>
    </row>
    <row r="23" spans="1:10">
      <c r="A23" s="424">
        <v>2035</v>
      </c>
      <c r="B23" s="114">
        <f t="shared" si="1"/>
        <v>3648.1275225735726</v>
      </c>
      <c r="C23" s="114">
        <f t="shared" si="2"/>
        <v>10830.112462283756</v>
      </c>
      <c r="D23" s="114">
        <f t="shared" si="3"/>
        <v>4180.4104000517173</v>
      </c>
      <c r="E23" s="114">
        <f t="shared" si="4"/>
        <v>5174.4837404460486</v>
      </c>
      <c r="F23" s="114">
        <f t="shared" si="5"/>
        <v>15361.371140819067</v>
      </c>
      <c r="G23" s="114">
        <f t="shared" si="6"/>
        <v>5929.4708064917786</v>
      </c>
      <c r="H23" s="114">
        <f t="shared" si="7"/>
        <v>7290.7548261872862</v>
      </c>
      <c r="I23" s="114">
        <f t="shared" si="8"/>
        <v>21643.896550755504</v>
      </c>
      <c r="J23" s="114">
        <f t="shared" si="9"/>
        <v>8354.5180674275434</v>
      </c>
    </row>
    <row r="24" spans="1:10">
      <c r="A24" s="424">
        <v>2036</v>
      </c>
      <c r="B24" s="114">
        <f t="shared" si="1"/>
        <v>3721.0900730250441</v>
      </c>
      <c r="C24" s="114">
        <f t="shared" si="2"/>
        <v>11046.714711529432</v>
      </c>
      <c r="D24" s="114">
        <f t="shared" si="3"/>
        <v>4264.0186080527519</v>
      </c>
      <c r="E24" s="114">
        <f t="shared" si="4"/>
        <v>5381.4630900638904</v>
      </c>
      <c r="F24" s="114">
        <f t="shared" si="5"/>
        <v>15975.82598645183</v>
      </c>
      <c r="G24" s="114">
        <f t="shared" si="6"/>
        <v>6166.6496387514499</v>
      </c>
      <c r="H24" s="114">
        <f t="shared" si="7"/>
        <v>7728.2001157585237</v>
      </c>
      <c r="I24" s="114">
        <f t="shared" si="8"/>
        <v>22942.530343800834</v>
      </c>
      <c r="J24" s="114">
        <f t="shared" si="9"/>
        <v>8855.7891514731964</v>
      </c>
    </row>
    <row r="25" spans="1:10">
      <c r="A25" s="424">
        <v>2037</v>
      </c>
      <c r="B25" s="114">
        <f t="shared" si="1"/>
        <v>3795.5118744855449</v>
      </c>
      <c r="C25" s="114">
        <f t="shared" si="2"/>
        <v>11267.64900576002</v>
      </c>
      <c r="D25" s="114">
        <f t="shared" si="3"/>
        <v>4349.2989802138072</v>
      </c>
      <c r="E25" s="114">
        <f t="shared" si="4"/>
        <v>5596.7216136664456</v>
      </c>
      <c r="F25" s="114">
        <f t="shared" si="5"/>
        <v>16614.859025909904</v>
      </c>
      <c r="G25" s="114">
        <f t="shared" si="6"/>
        <v>6413.3156243015083</v>
      </c>
      <c r="H25" s="114">
        <f t="shared" si="7"/>
        <v>8191.8921227040355</v>
      </c>
      <c r="I25" s="114">
        <f t="shared" si="8"/>
        <v>24319.082164428884</v>
      </c>
      <c r="J25" s="114">
        <f t="shared" si="9"/>
        <v>9387.136500561588</v>
      </c>
    </row>
    <row r="26" spans="1:10">
      <c r="A26" s="424">
        <v>2038</v>
      </c>
      <c r="B26" s="114">
        <f t="shared" si="1"/>
        <v>3871.422111975256</v>
      </c>
      <c r="C26" s="114">
        <f t="shared" si="2"/>
        <v>11493.00198587522</v>
      </c>
      <c r="D26" s="114">
        <f t="shared" si="3"/>
        <v>4436.2849598180837</v>
      </c>
      <c r="E26" s="114">
        <f t="shared" si="4"/>
        <v>5820.5904782131038</v>
      </c>
      <c r="F26" s="114">
        <f t="shared" si="5"/>
        <v>17279.453386946301</v>
      </c>
      <c r="G26" s="114">
        <f t="shared" si="6"/>
        <v>6669.8482492735684</v>
      </c>
      <c r="H26" s="114">
        <f t="shared" si="7"/>
        <v>8683.4056500662773</v>
      </c>
      <c r="I26" s="114">
        <f t="shared" si="8"/>
        <v>25778.227094294616</v>
      </c>
      <c r="J26" s="114">
        <f t="shared" si="9"/>
        <v>9950.3646905952828</v>
      </c>
    </row>
    <row r="27" spans="1:10">
      <c r="A27" s="424">
        <v>2039</v>
      </c>
      <c r="B27" s="114">
        <f t="shared" si="1"/>
        <v>3948.8505542147614</v>
      </c>
      <c r="C27" s="114">
        <f t="shared" si="2"/>
        <v>11722.862025592725</v>
      </c>
      <c r="D27" s="114">
        <f t="shared" si="3"/>
        <v>4525.0106590144451</v>
      </c>
      <c r="E27" s="114">
        <f t="shared" si="4"/>
        <v>6053.4140973416279</v>
      </c>
      <c r="F27" s="114">
        <f t="shared" si="5"/>
        <v>17970.631522424152</v>
      </c>
      <c r="G27" s="114">
        <f t="shared" si="6"/>
        <v>6936.6421792445108</v>
      </c>
      <c r="H27" s="114">
        <f t="shared" si="7"/>
        <v>9204.4099890702546</v>
      </c>
      <c r="I27" s="114">
        <f t="shared" si="8"/>
        <v>27324.920719952293</v>
      </c>
      <c r="J27" s="114">
        <f t="shared" si="9"/>
        <v>10547.386572031</v>
      </c>
    </row>
    <row r="28" spans="1:10">
      <c r="A28" s="424">
        <v>2040</v>
      </c>
      <c r="B28" s="114">
        <f t="shared" si="1"/>
        <v>4027.8275652990565</v>
      </c>
      <c r="C28" s="114">
        <f t="shared" si="2"/>
        <v>11957.31926610458</v>
      </c>
      <c r="D28" s="114">
        <f t="shared" si="3"/>
        <v>4615.5108721947336</v>
      </c>
      <c r="E28" s="114">
        <f t="shared" si="4"/>
        <v>6295.5506612352929</v>
      </c>
      <c r="F28" s="114">
        <f t="shared" si="5"/>
        <v>18689.456783321119</v>
      </c>
      <c r="G28" s="114">
        <f t="shared" si="6"/>
        <v>7214.1078664142915</v>
      </c>
      <c r="H28" s="114">
        <f t="shared" si="7"/>
        <v>9756.6745884144693</v>
      </c>
      <c r="I28" s="114">
        <f t="shared" si="8"/>
        <v>28964.415963149429</v>
      </c>
      <c r="J28" s="114">
        <f t="shared" si="9"/>
        <v>11180.229766352861</v>
      </c>
    </row>
    <row r="29" spans="1:10">
      <c r="A29" s="424">
        <v>2041</v>
      </c>
      <c r="B29" s="114">
        <f t="shared" si="1"/>
        <v>4108.3841166050379</v>
      </c>
      <c r="C29" s="114">
        <f t="shared" si="2"/>
        <v>12196.465651426672</v>
      </c>
      <c r="D29" s="114">
        <f t="shared" si="3"/>
        <v>4707.8210896386281</v>
      </c>
      <c r="E29" s="114">
        <f t="shared" si="4"/>
        <v>6547.3726876847049</v>
      </c>
      <c r="F29" s="114">
        <f t="shared" si="5"/>
        <v>19437.035054653963</v>
      </c>
      <c r="G29" s="114">
        <f t="shared" si="6"/>
        <v>7502.6721810708632</v>
      </c>
      <c r="H29" s="114">
        <f t="shared" si="7"/>
        <v>10342.075063719338</v>
      </c>
      <c r="I29" s="114">
        <f t="shared" si="8"/>
        <v>30702.280920938396</v>
      </c>
      <c r="J29" s="114">
        <f t="shared" si="9"/>
        <v>11851.043552334033</v>
      </c>
    </row>
    <row r="30" spans="1:10">
      <c r="A30" s="424">
        <v>2042</v>
      </c>
      <c r="B30" s="114">
        <f t="shared" si="1"/>
        <v>4190.5517989371383</v>
      </c>
      <c r="C30" s="114">
        <f t="shared" si="2"/>
        <v>12440.394964455205</v>
      </c>
      <c r="D30" s="114">
        <f t="shared" si="3"/>
        <v>4801.9775114314007</v>
      </c>
      <c r="E30" s="114">
        <f t="shared" si="4"/>
        <v>6809.2675951920928</v>
      </c>
      <c r="F30" s="114">
        <f t="shared" si="5"/>
        <v>20214.516456840123</v>
      </c>
      <c r="G30" s="114">
        <f t="shared" si="6"/>
        <v>7802.7790683136973</v>
      </c>
      <c r="H30" s="114">
        <f t="shared" si="7"/>
        <v>10962.599567542498</v>
      </c>
      <c r="I30" s="114">
        <f t="shared" si="8"/>
        <v>32544.417776194699</v>
      </c>
      <c r="J30" s="114">
        <f t="shared" si="9"/>
        <v>12562.106165474075</v>
      </c>
    </row>
    <row r="31" spans="1:10">
      <c r="A31" s="424">
        <v>2043</v>
      </c>
      <c r="B31" s="114">
        <f t="shared" si="1"/>
        <v>4274.3628349158807</v>
      </c>
      <c r="C31" s="114">
        <f t="shared" si="2"/>
        <v>12689.202863744309</v>
      </c>
      <c r="D31" s="114">
        <f t="shared" si="3"/>
        <v>4898.017061660029</v>
      </c>
      <c r="E31" s="114">
        <f t="shared" si="4"/>
        <v>7081.6382989997765</v>
      </c>
      <c r="F31" s="114">
        <f t="shared" si="5"/>
        <v>21023.097115113727</v>
      </c>
      <c r="G31" s="114">
        <f t="shared" si="6"/>
        <v>8114.8902310462454</v>
      </c>
      <c r="H31" s="114">
        <f t="shared" si="7"/>
        <v>11620.355541595049</v>
      </c>
      <c r="I31" s="114">
        <f t="shared" si="8"/>
        <v>34497.08284276638</v>
      </c>
      <c r="J31" s="114">
        <f t="shared" si="9"/>
        <v>13315.83253540252</v>
      </c>
    </row>
    <row r="32" spans="1:10">
      <c r="A32" s="424">
        <v>2044</v>
      </c>
      <c r="B32" s="114">
        <f t="shared" si="1"/>
        <v>4359.8500916141984</v>
      </c>
      <c r="C32" s="114">
        <f t="shared" si="2"/>
        <v>12942.986921019196</v>
      </c>
      <c r="D32" s="114">
        <f t="shared" si="3"/>
        <v>4995.9774028932297</v>
      </c>
      <c r="E32" s="114">
        <f t="shared" si="4"/>
        <v>7364.9038309597672</v>
      </c>
      <c r="F32" s="114">
        <f t="shared" si="5"/>
        <v>21864.020999718276</v>
      </c>
      <c r="G32" s="114">
        <f t="shared" si="6"/>
        <v>8439.4858402880946</v>
      </c>
      <c r="H32" s="114">
        <f t="shared" si="7"/>
        <v>12317.576874090752</v>
      </c>
      <c r="I32" s="114">
        <f t="shared" si="8"/>
        <v>36566.907813332364</v>
      </c>
      <c r="J32" s="114">
        <f t="shared" si="9"/>
        <v>14114.782487526671</v>
      </c>
    </row>
    <row r="33" spans="1:10">
      <c r="A33" s="424">
        <v>2045</v>
      </c>
      <c r="B33" s="114">
        <f t="shared" si="1"/>
        <v>4447.047093446482</v>
      </c>
      <c r="C33" s="114">
        <f t="shared" si="2"/>
        <v>13201.84665943958</v>
      </c>
      <c r="D33" s="114">
        <f t="shared" si="3"/>
        <v>5095.8969509510944</v>
      </c>
      <c r="E33" s="114">
        <f t="shared" si="4"/>
        <v>7659.499984198158</v>
      </c>
      <c r="F33" s="114">
        <f t="shared" si="5"/>
        <v>22738.581839707007</v>
      </c>
      <c r="G33" s="114">
        <f t="shared" si="6"/>
        <v>8777.0652738996178</v>
      </c>
      <c r="H33" s="114">
        <f t="shared" si="7"/>
        <v>13056.631486536196</v>
      </c>
      <c r="I33" s="114">
        <f t="shared" si="8"/>
        <v>38760.922282132306</v>
      </c>
      <c r="J33" s="114">
        <f t="shared" si="9"/>
        <v>14961.669436778271</v>
      </c>
    </row>
    <row r="34" spans="1:10">
      <c r="A34" s="424">
        <v>2046</v>
      </c>
      <c r="B34" s="114">
        <f t="shared" si="1"/>
        <v>4535.9880353154113</v>
      </c>
      <c r="C34" s="114">
        <f t="shared" si="2"/>
        <v>13465.883592628372</v>
      </c>
      <c r="D34" s="114">
        <f t="shared" si="3"/>
        <v>5197.8148899701164</v>
      </c>
      <c r="E34" s="114">
        <f t="shared" si="4"/>
        <v>7965.8799835660848</v>
      </c>
      <c r="F34" s="114">
        <f t="shared" si="5"/>
        <v>23648.125113295286</v>
      </c>
      <c r="G34" s="114">
        <f t="shared" si="6"/>
        <v>9128.1478848556017</v>
      </c>
      <c r="H34" s="114">
        <f t="shared" si="7"/>
        <v>13840.029375728369</v>
      </c>
      <c r="I34" s="114">
        <f t="shared" si="8"/>
        <v>41086.577619060241</v>
      </c>
      <c r="J34" s="114">
        <f t="shared" si="9"/>
        <v>15859.369602984967</v>
      </c>
    </row>
    <row r="35" spans="1:10">
      <c r="A35" s="424">
        <v>2047</v>
      </c>
      <c r="B35" s="114">
        <f t="shared" si="1"/>
        <v>4626.7077960217193</v>
      </c>
      <c r="C35" s="114">
        <f t="shared" si="2"/>
        <v>13735.20126448094</v>
      </c>
      <c r="D35" s="114">
        <f t="shared" si="3"/>
        <v>5301.7711877695183</v>
      </c>
      <c r="E35" s="114">
        <f t="shared" si="4"/>
        <v>8284.5151829087281</v>
      </c>
      <c r="F35" s="114">
        <f t="shared" si="5"/>
        <v>24594.050117827097</v>
      </c>
      <c r="G35" s="114">
        <f t="shared" si="6"/>
        <v>9493.2738002498263</v>
      </c>
      <c r="H35" s="114">
        <f t="shared" si="7"/>
        <v>14670.431138272072</v>
      </c>
      <c r="I35" s="114">
        <f t="shared" si="8"/>
        <v>43551.772276203854</v>
      </c>
      <c r="J35" s="114">
        <f t="shared" si="9"/>
        <v>16810.931779164064</v>
      </c>
    </row>
    <row r="36" spans="1:10">
      <c r="A36" s="101"/>
      <c r="C36" s="115"/>
    </row>
    <row r="37" spans="1:10">
      <c r="A37" s="101"/>
      <c r="C37" s="115"/>
    </row>
    <row r="38" spans="1:10">
      <c r="A38" s="101"/>
    </row>
    <row r="40" spans="1:10">
      <c r="A40" s="112"/>
      <c r="B40" s="113"/>
      <c r="G40" t="s">
        <v>208</v>
      </c>
    </row>
    <row r="41" spans="1:10">
      <c r="A41" s="112"/>
      <c r="B41" s="113"/>
      <c r="F41" s="112"/>
      <c r="G41" s="113"/>
    </row>
    <row r="42" spans="1:10">
      <c r="A42" s="112"/>
      <c r="B42" s="113"/>
      <c r="F42" s="112"/>
      <c r="G42" s="113"/>
    </row>
    <row r="43" spans="1:10">
      <c r="F43" s="112"/>
      <c r="G43" s="113"/>
    </row>
    <row r="44" spans="1:10">
      <c r="A44" s="5"/>
    </row>
    <row r="46" spans="1:10">
      <c r="A46" s="112"/>
      <c r="B46" s="113"/>
    </row>
    <row r="47" spans="1:10">
      <c r="F47" s="112"/>
      <c r="G47" s="113"/>
    </row>
    <row r="48" spans="1:10">
      <c r="A48" s="14"/>
      <c r="B48" s="14"/>
      <c r="C48" s="14"/>
      <c r="D48" s="14"/>
      <c r="E48" s="14"/>
      <c r="F48" s="14"/>
      <c r="G48" s="14"/>
      <c r="H48" s="14"/>
      <c r="I48" s="14"/>
      <c r="J48" s="14"/>
    </row>
    <row r="49" spans="1:10">
      <c r="A49" s="14"/>
      <c r="B49" s="14"/>
      <c r="C49" s="14"/>
      <c r="D49" s="14"/>
      <c r="E49" s="14"/>
      <c r="F49" s="14"/>
      <c r="G49" s="14"/>
      <c r="H49" s="14"/>
      <c r="I49" s="14"/>
      <c r="J49" s="14"/>
    </row>
    <row r="50" spans="1:10">
      <c r="A50" s="14"/>
      <c r="B50" s="14"/>
      <c r="C50" s="14"/>
      <c r="D50" s="14"/>
      <c r="E50" s="14"/>
      <c r="F50" s="14"/>
      <c r="G50" s="14"/>
      <c r="H50" s="14"/>
      <c r="I50" s="14"/>
      <c r="J50" s="14"/>
    </row>
    <row r="51" spans="1:10">
      <c r="A51" s="14"/>
      <c r="B51" s="14"/>
      <c r="C51" s="14"/>
      <c r="D51" s="14"/>
      <c r="E51" s="14"/>
      <c r="F51" s="14"/>
      <c r="G51" s="14"/>
      <c r="H51" s="14"/>
      <c r="I51" s="14"/>
      <c r="J51" s="14"/>
    </row>
    <row r="52" spans="1:10">
      <c r="A52" s="14"/>
      <c r="B52" s="14"/>
      <c r="C52" s="14"/>
      <c r="D52" s="14"/>
      <c r="E52" s="14"/>
      <c r="F52" s="14"/>
      <c r="G52" s="14"/>
      <c r="H52" s="14"/>
      <c r="I52" s="14"/>
      <c r="J52" s="14"/>
    </row>
    <row r="53" spans="1:10">
      <c r="A53" s="14"/>
      <c r="B53" s="14"/>
      <c r="C53" s="14"/>
      <c r="D53" s="14"/>
      <c r="E53" s="14"/>
      <c r="F53" s="14"/>
      <c r="G53" s="14"/>
      <c r="H53" s="14"/>
      <c r="I53" s="14"/>
      <c r="J53" s="14"/>
    </row>
    <row r="54" spans="1:10">
      <c r="A54" s="14"/>
      <c r="B54" s="14"/>
      <c r="C54" s="14"/>
      <c r="D54" s="14"/>
      <c r="E54" s="14"/>
      <c r="F54" s="14"/>
      <c r="G54" s="14"/>
      <c r="H54" s="14"/>
      <c r="I54" s="14"/>
      <c r="J54" s="14"/>
    </row>
    <row r="55" spans="1:10">
      <c r="A55" s="14"/>
      <c r="B55" s="14"/>
      <c r="C55" s="14"/>
      <c r="D55" s="14"/>
      <c r="E55" s="14"/>
      <c r="F55" s="14"/>
      <c r="G55" s="14"/>
      <c r="H55" s="14"/>
      <c r="I55" s="14"/>
      <c r="J55" s="14"/>
    </row>
    <row r="56" spans="1:10">
      <c r="B56" s="14"/>
      <c r="C56" s="14"/>
      <c r="D56" s="14"/>
      <c r="E56" s="14"/>
      <c r="F56" s="14"/>
      <c r="G56" s="14"/>
      <c r="H56" s="14"/>
      <c r="I56" s="14"/>
      <c r="J56" s="14"/>
    </row>
  </sheetData>
  <mergeCells count="4">
    <mergeCell ref="A2:J2"/>
    <mergeCell ref="B3:D3"/>
    <mergeCell ref="E3:G3"/>
    <mergeCell ref="H3:J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B2:Y48"/>
  <sheetViews>
    <sheetView topLeftCell="A18" workbookViewId="0">
      <selection activeCell="L20" sqref="L20"/>
    </sheetView>
  </sheetViews>
  <sheetFormatPr baseColWidth="10" defaultRowHeight="15"/>
  <cols>
    <col min="1" max="1" width="2.28515625" customWidth="1"/>
    <col min="2" max="2" width="13.42578125" customWidth="1"/>
    <col min="3" max="3" width="16.85546875" customWidth="1"/>
    <col min="4" max="4" width="14.42578125" customWidth="1"/>
    <col min="5" max="5" width="12.85546875" customWidth="1"/>
    <col min="6" max="6" width="11.7109375" customWidth="1"/>
    <col min="9" max="9" width="13.7109375" customWidth="1"/>
    <col min="10" max="10" width="11.7109375" bestFit="1" customWidth="1"/>
  </cols>
  <sheetData>
    <row r="2" spans="2:10">
      <c r="B2" s="207" t="s">
        <v>373</v>
      </c>
      <c r="C2" s="207"/>
      <c r="D2" s="207"/>
      <c r="E2" s="207"/>
      <c r="F2" s="207"/>
      <c r="G2" s="207"/>
      <c r="H2" s="207"/>
      <c r="I2" s="207"/>
      <c r="J2" s="207"/>
    </row>
    <row r="3" spans="2:10">
      <c r="B3" s="207" t="s">
        <v>375</v>
      </c>
      <c r="C3" s="207"/>
      <c r="D3" s="207"/>
      <c r="E3" s="207"/>
      <c r="F3" s="207"/>
      <c r="G3" s="207"/>
      <c r="H3" s="207"/>
      <c r="I3" s="207"/>
      <c r="J3" s="207"/>
    </row>
    <row r="4" spans="2:10">
      <c r="B4" s="207" t="s">
        <v>374</v>
      </c>
      <c r="C4" s="207"/>
      <c r="D4" s="207"/>
      <c r="E4" s="207"/>
      <c r="F4" s="207"/>
      <c r="G4" s="207"/>
      <c r="H4" s="207"/>
      <c r="I4" s="207"/>
      <c r="J4" s="207"/>
    </row>
    <row r="5" spans="2:10">
      <c r="B5" s="207" t="s">
        <v>376</v>
      </c>
      <c r="C5" s="207"/>
      <c r="D5" s="207"/>
      <c r="E5" s="207"/>
      <c r="F5" s="207"/>
      <c r="G5" s="207"/>
      <c r="H5" s="207"/>
      <c r="I5" s="207"/>
      <c r="J5" s="207"/>
    </row>
    <row r="6" spans="2:10">
      <c r="B6" s="207" t="s">
        <v>377</v>
      </c>
      <c r="C6" s="207"/>
      <c r="D6" s="207"/>
      <c r="E6" s="207"/>
      <c r="F6" s="207"/>
      <c r="G6" s="207"/>
      <c r="H6" s="207"/>
      <c r="I6" s="207"/>
      <c r="J6" s="207"/>
    </row>
    <row r="7" spans="2:10">
      <c r="B7" s="207" t="s">
        <v>378</v>
      </c>
      <c r="C7" s="207"/>
      <c r="D7" s="207"/>
      <c r="E7" s="207"/>
      <c r="F7" s="207"/>
      <c r="G7" s="207"/>
      <c r="H7" s="207"/>
      <c r="I7" s="207"/>
      <c r="J7" s="207"/>
    </row>
    <row r="8" spans="2:10">
      <c r="B8" s="207" t="s">
        <v>379</v>
      </c>
      <c r="C8" s="207"/>
      <c r="D8" s="207"/>
      <c r="E8" s="207"/>
      <c r="F8" s="207"/>
      <c r="G8" s="207"/>
      <c r="H8" s="207"/>
      <c r="I8" s="207"/>
      <c r="J8" s="207"/>
    </row>
    <row r="9" spans="2:10" ht="27.75" customHeight="1">
      <c r="B9" s="621" t="s">
        <v>383</v>
      </c>
      <c r="C9" s="621"/>
      <c r="D9" s="621"/>
      <c r="E9" s="621"/>
      <c r="F9" s="621"/>
      <c r="G9" s="621"/>
      <c r="H9" s="621"/>
      <c r="I9" s="621"/>
      <c r="J9" s="621"/>
    </row>
    <row r="10" spans="2:10">
      <c r="B10" s="208" t="s">
        <v>380</v>
      </c>
      <c r="C10" s="207"/>
      <c r="D10" s="207"/>
      <c r="E10" s="207"/>
      <c r="F10" s="207"/>
      <c r="G10" s="207"/>
      <c r="H10" s="207"/>
      <c r="I10" s="207"/>
      <c r="J10" s="207"/>
    </row>
    <row r="11" spans="2:10">
      <c r="B11" s="208" t="s">
        <v>381</v>
      </c>
      <c r="C11" s="207"/>
      <c r="D11" s="207"/>
      <c r="E11" s="207"/>
      <c r="F11" s="207"/>
      <c r="G11" s="207"/>
      <c r="H11" s="207"/>
      <c r="I11" s="207"/>
      <c r="J11" s="207"/>
    </row>
    <row r="12" spans="2:10">
      <c r="B12" s="208" t="s">
        <v>382</v>
      </c>
      <c r="C12" s="207"/>
      <c r="D12" s="207"/>
      <c r="E12" s="207"/>
      <c r="F12" s="207"/>
      <c r="G12" s="207"/>
      <c r="H12" s="207"/>
      <c r="I12" s="207"/>
      <c r="J12" s="207"/>
    </row>
    <row r="13" spans="2:10">
      <c r="B13" s="215"/>
      <c r="C13" s="216"/>
      <c r="D13" s="216"/>
      <c r="E13" s="216"/>
      <c r="F13" s="216"/>
      <c r="G13" s="216"/>
      <c r="H13" s="216"/>
      <c r="I13" s="216"/>
      <c r="J13" s="216"/>
    </row>
    <row r="14" spans="2:10">
      <c r="B14" s="215"/>
      <c r="C14" s="216"/>
      <c r="D14" s="216"/>
      <c r="E14" s="216"/>
      <c r="F14" s="216"/>
      <c r="G14" s="216"/>
      <c r="H14" s="216"/>
      <c r="I14" s="216"/>
      <c r="J14" s="216"/>
    </row>
    <row r="15" spans="2:10">
      <c r="B15" s="626" t="s">
        <v>393</v>
      </c>
      <c r="C15" s="626"/>
      <c r="D15" s="626"/>
      <c r="E15" s="216"/>
      <c r="F15" s="216"/>
      <c r="G15" s="216"/>
      <c r="H15" s="216"/>
      <c r="I15" s="216"/>
      <c r="J15" s="216"/>
    </row>
    <row r="17" spans="2:25">
      <c r="B17" s="96" t="s">
        <v>241</v>
      </c>
      <c r="D17" s="112" t="s">
        <v>235</v>
      </c>
      <c r="E17" s="16">
        <f>'RESUMEN PRESUPUESTO'!E18</f>
        <v>544277.90355140693</v>
      </c>
    </row>
    <row r="18" spans="2:25">
      <c r="B18" s="96"/>
      <c r="D18" s="112" t="s">
        <v>392</v>
      </c>
      <c r="E18" s="16">
        <f>E17*E19</f>
        <v>5192411.1998804212</v>
      </c>
    </row>
    <row r="19" spans="2:25">
      <c r="B19" s="96" t="s">
        <v>391</v>
      </c>
      <c r="D19" s="112" t="s">
        <v>223</v>
      </c>
      <c r="E19" s="16">
        <v>9.5399999999999991</v>
      </c>
    </row>
    <row r="20" spans="2:25">
      <c r="B20" s="96" t="s">
        <v>242</v>
      </c>
      <c r="D20" t="s">
        <v>243</v>
      </c>
      <c r="F20" s="42">
        <v>0.8</v>
      </c>
      <c r="I20" t="s">
        <v>384</v>
      </c>
      <c r="J20" s="210">
        <v>0.12</v>
      </c>
    </row>
    <row r="21" spans="2:25">
      <c r="D21" t="s">
        <v>244</v>
      </c>
      <c r="F21" s="16">
        <f>$E$18*F20</f>
        <v>4153928.9599043373</v>
      </c>
      <c r="G21" s="112"/>
      <c r="I21" t="s">
        <v>385</v>
      </c>
      <c r="J21" s="210">
        <v>0.21</v>
      </c>
      <c r="K21" s="155"/>
    </row>
    <row r="22" spans="2:25">
      <c r="D22" t="s">
        <v>245</v>
      </c>
      <c r="F22">
        <v>2</v>
      </c>
      <c r="I22" t="s">
        <v>246</v>
      </c>
    </row>
    <row r="23" spans="2:25">
      <c r="D23" t="s">
        <v>247</v>
      </c>
      <c r="F23">
        <v>10</v>
      </c>
      <c r="I23" t="s">
        <v>248</v>
      </c>
      <c r="L23">
        <v>180</v>
      </c>
    </row>
    <row r="24" spans="2:25">
      <c r="F24" s="121"/>
      <c r="I24" t="s">
        <v>249</v>
      </c>
      <c r="L24" s="6" t="s">
        <v>250</v>
      </c>
      <c r="M24" s="6"/>
      <c r="N24" s="6"/>
      <c r="O24" s="6"/>
      <c r="P24" s="6"/>
    </row>
    <row r="26" spans="2:25">
      <c r="B26" s="627" t="s">
        <v>79</v>
      </c>
      <c r="C26" s="628"/>
      <c r="D26" s="214">
        <v>0</v>
      </c>
      <c r="E26" s="214">
        <v>1</v>
      </c>
      <c r="F26" s="214">
        <v>2</v>
      </c>
      <c r="G26" s="214">
        <v>3</v>
      </c>
      <c r="H26" s="214">
        <v>4</v>
      </c>
      <c r="I26" s="214">
        <v>5</v>
      </c>
      <c r="J26" s="214">
        <v>6</v>
      </c>
      <c r="K26" s="214">
        <v>7</v>
      </c>
      <c r="L26" s="214">
        <v>8</v>
      </c>
      <c r="M26" s="214">
        <v>9</v>
      </c>
      <c r="N26" s="214">
        <v>10</v>
      </c>
      <c r="O26" s="214">
        <v>11</v>
      </c>
      <c r="P26" s="214">
        <v>12</v>
      </c>
      <c r="Q26" s="214">
        <v>13</v>
      </c>
      <c r="R26" s="214">
        <v>14</v>
      </c>
      <c r="S26" s="214">
        <v>15</v>
      </c>
      <c r="T26" s="214">
        <v>16</v>
      </c>
      <c r="U26" s="214">
        <v>17</v>
      </c>
      <c r="V26" s="214">
        <v>18</v>
      </c>
      <c r="W26" s="214">
        <v>19</v>
      </c>
      <c r="X26" s="214">
        <v>20</v>
      </c>
      <c r="Y26" s="214">
        <v>21</v>
      </c>
    </row>
    <row r="27" spans="2:25">
      <c r="B27" s="209" t="s">
        <v>251</v>
      </c>
      <c r="C27" s="1"/>
      <c r="D27" s="36">
        <f>D32</f>
        <v>4153928.9599043373</v>
      </c>
      <c r="E27" s="36">
        <f>E32</f>
        <v>4153928.9599043373</v>
      </c>
      <c r="F27" s="36">
        <f>F32</f>
        <v>4153928.9599043373</v>
      </c>
      <c r="G27" s="36">
        <f>G32</f>
        <v>3738536.0639139032</v>
      </c>
      <c r="H27" s="36">
        <f>H32</f>
        <v>3323143.1679234691</v>
      </c>
      <c r="I27" s="36">
        <f t="shared" ref="I27:Y27" si="0">I32</f>
        <v>2907750.271933035</v>
      </c>
      <c r="J27" s="36">
        <f t="shared" si="0"/>
        <v>2492357.3759426009</v>
      </c>
      <c r="K27" s="36">
        <f t="shared" si="0"/>
        <v>2076964.479952167</v>
      </c>
      <c r="L27" s="36">
        <f t="shared" si="0"/>
        <v>1661571.5839617334</v>
      </c>
      <c r="M27" s="36">
        <f t="shared" si="0"/>
        <v>1246178.6879712997</v>
      </c>
      <c r="N27" s="36">
        <f t="shared" si="0"/>
        <v>830785.79198086611</v>
      </c>
      <c r="O27" s="36">
        <f t="shared" si="0"/>
        <v>415392.89599043241</v>
      </c>
      <c r="P27" s="36">
        <f t="shared" si="0"/>
        <v>-1.3387762010097504E-9</v>
      </c>
      <c r="Q27" s="36">
        <f t="shared" si="0"/>
        <v>-1.3387762010097504E-9</v>
      </c>
      <c r="R27" s="36">
        <f t="shared" si="0"/>
        <v>-1.3387762010097504E-9</v>
      </c>
      <c r="S27" s="36">
        <f t="shared" si="0"/>
        <v>-1.3387762010097504E-9</v>
      </c>
      <c r="T27" s="36">
        <f t="shared" si="0"/>
        <v>-1.3387762010097504E-9</v>
      </c>
      <c r="U27" s="36">
        <f t="shared" si="0"/>
        <v>-1.3387762010097504E-9</v>
      </c>
      <c r="V27" s="36">
        <f t="shared" si="0"/>
        <v>-1.3387762010097504E-9</v>
      </c>
      <c r="W27" s="36">
        <f t="shared" si="0"/>
        <v>-1.3387762010097504E-9</v>
      </c>
      <c r="X27" s="36">
        <f t="shared" si="0"/>
        <v>-1.3387762010097504E-9</v>
      </c>
      <c r="Y27" s="36">
        <f t="shared" si="0"/>
        <v>-1.3387762010097504E-9</v>
      </c>
    </row>
    <row r="28" spans="2:25">
      <c r="B28" s="213" t="s">
        <v>252</v>
      </c>
      <c r="C28" s="211"/>
      <c r="D28" s="211"/>
      <c r="E28" s="212">
        <f t="shared" ref="E28:Y28" si="1">E35+E41</f>
        <v>0</v>
      </c>
      <c r="F28" s="212">
        <f>F35+F41</f>
        <v>0</v>
      </c>
      <c r="G28" s="212">
        <f t="shared" si="1"/>
        <v>415392.89599043375</v>
      </c>
      <c r="H28" s="212">
        <f t="shared" si="1"/>
        <v>415392.89599043375</v>
      </c>
      <c r="I28" s="212">
        <f t="shared" si="1"/>
        <v>415392.89599043375</v>
      </c>
      <c r="J28" s="212">
        <f t="shared" si="1"/>
        <v>415392.89599043375</v>
      </c>
      <c r="K28" s="212">
        <f t="shared" si="1"/>
        <v>415392.89599043375</v>
      </c>
      <c r="L28" s="212">
        <f t="shared" si="1"/>
        <v>415392.89599043375</v>
      </c>
      <c r="M28" s="212">
        <f t="shared" si="1"/>
        <v>415392.89599043375</v>
      </c>
      <c r="N28" s="212">
        <f t="shared" si="1"/>
        <v>415392.89599043375</v>
      </c>
      <c r="O28" s="212">
        <f t="shared" si="1"/>
        <v>415392.89599043375</v>
      </c>
      <c r="P28" s="212">
        <f t="shared" si="1"/>
        <v>415392.89599043375</v>
      </c>
      <c r="Q28" s="212">
        <f t="shared" si="1"/>
        <v>0</v>
      </c>
      <c r="R28" s="212">
        <f t="shared" si="1"/>
        <v>0</v>
      </c>
      <c r="S28" s="212">
        <f t="shared" si="1"/>
        <v>0</v>
      </c>
      <c r="T28" s="212">
        <f t="shared" si="1"/>
        <v>0</v>
      </c>
      <c r="U28" s="212">
        <f t="shared" si="1"/>
        <v>0</v>
      </c>
      <c r="V28" s="212">
        <f t="shared" si="1"/>
        <v>0</v>
      </c>
      <c r="W28" s="212">
        <f t="shared" si="1"/>
        <v>0</v>
      </c>
      <c r="X28" s="212">
        <f t="shared" si="1"/>
        <v>0</v>
      </c>
      <c r="Y28" s="212">
        <f t="shared" si="1"/>
        <v>0</v>
      </c>
    </row>
    <row r="29" spans="2:25">
      <c r="B29" s="209" t="s">
        <v>386</v>
      </c>
      <c r="C29" s="1"/>
      <c r="D29" s="1"/>
      <c r="E29" s="36">
        <f>E36+E42</f>
        <v>602262.79604969174</v>
      </c>
      <c r="F29" s="36">
        <f t="shared" ref="F29:Y29" si="2">F36+F42</f>
        <v>602262.79604969174</v>
      </c>
      <c r="G29" s="36">
        <f t="shared" si="2"/>
        <v>587206.22614844947</v>
      </c>
      <c r="H29" s="36">
        <f t="shared" si="2"/>
        <v>526979.94654348027</v>
      </c>
      <c r="I29" s="36">
        <f t="shared" si="2"/>
        <v>466753.66693851096</v>
      </c>
      <c r="J29" s="36">
        <f t="shared" si="2"/>
        <v>406527.38733354176</v>
      </c>
      <c r="K29" s="36">
        <f t="shared" si="2"/>
        <v>346301.10772857256</v>
      </c>
      <c r="L29" s="36">
        <f t="shared" si="2"/>
        <v>286074.82812360337</v>
      </c>
      <c r="M29" s="36">
        <f t="shared" si="2"/>
        <v>225848.5485186342</v>
      </c>
      <c r="N29" s="36">
        <f t="shared" si="2"/>
        <v>165622.26891366503</v>
      </c>
      <c r="O29" s="36">
        <f t="shared" si="2"/>
        <v>105395.98930869586</v>
      </c>
      <c r="P29" s="36">
        <f t="shared" si="2"/>
        <v>45169.709703726694</v>
      </c>
      <c r="Q29" s="36">
        <f t="shared" si="2"/>
        <v>-1.9410420974639994E-10</v>
      </c>
      <c r="R29" s="36">
        <f t="shared" si="2"/>
        <v>-1.9410420974639994E-10</v>
      </c>
      <c r="S29" s="36">
        <f t="shared" si="2"/>
        <v>-1.9410420974639994E-10</v>
      </c>
      <c r="T29" s="36">
        <f t="shared" si="2"/>
        <v>-1.9410420974639994E-10</v>
      </c>
      <c r="U29" s="36">
        <f t="shared" si="2"/>
        <v>-1.9410420974639994E-10</v>
      </c>
      <c r="V29" s="36">
        <f t="shared" si="2"/>
        <v>-1.9410420974639994E-10</v>
      </c>
      <c r="W29" s="36">
        <f t="shared" si="2"/>
        <v>-1.9410420974639994E-10</v>
      </c>
      <c r="X29" s="36">
        <f t="shared" si="2"/>
        <v>-1.9410420974639994E-10</v>
      </c>
      <c r="Y29" s="36">
        <f t="shared" si="2"/>
        <v>-1.9410420974639994E-10</v>
      </c>
    </row>
    <row r="30" spans="2:25">
      <c r="B30" s="9"/>
      <c r="C30" s="9"/>
      <c r="D30" s="9"/>
      <c r="E30" s="9"/>
      <c r="F30" s="9"/>
      <c r="G30" s="9"/>
      <c r="H30" s="9"/>
      <c r="I30" s="9"/>
      <c r="J30" s="9"/>
      <c r="K30" s="9"/>
      <c r="L30" s="9"/>
      <c r="M30" s="9"/>
      <c r="N30" s="9"/>
      <c r="O30" s="9"/>
      <c r="P30" s="9"/>
      <c r="Q30" s="9"/>
      <c r="R30" s="9"/>
      <c r="S30" s="9"/>
      <c r="T30" s="9"/>
      <c r="U30" s="9"/>
      <c r="V30" s="9"/>
      <c r="W30" s="9"/>
      <c r="X30" s="9"/>
      <c r="Y30" s="9"/>
    </row>
    <row r="31" spans="2:25">
      <c r="B31" s="622" t="s">
        <v>387</v>
      </c>
      <c r="C31" s="623"/>
      <c r="D31" s="211"/>
      <c r="E31" s="212">
        <f t="shared" ref="E31:Y31" si="3">E37+E43</f>
        <v>602262.79604969174</v>
      </c>
      <c r="F31" s="212">
        <f t="shared" si="3"/>
        <v>602262.79604969174</v>
      </c>
      <c r="G31" s="212">
        <f t="shared" si="3"/>
        <v>1002599.1221388832</v>
      </c>
      <c r="H31" s="212">
        <f t="shared" si="3"/>
        <v>942372.84253391402</v>
      </c>
      <c r="I31" s="212">
        <f t="shared" si="3"/>
        <v>882146.56292894471</v>
      </c>
      <c r="J31" s="212">
        <f t="shared" si="3"/>
        <v>821920.28332397551</v>
      </c>
      <c r="K31" s="212">
        <f t="shared" si="3"/>
        <v>761694.00371900632</v>
      </c>
      <c r="L31" s="212">
        <f t="shared" si="3"/>
        <v>701467.72411403712</v>
      </c>
      <c r="M31" s="212">
        <f t="shared" si="3"/>
        <v>641241.44450906792</v>
      </c>
      <c r="N31" s="212">
        <f t="shared" si="3"/>
        <v>581015.16490409872</v>
      </c>
      <c r="O31" s="212">
        <f t="shared" si="3"/>
        <v>520788.88529912964</v>
      </c>
      <c r="P31" s="212">
        <f t="shared" si="3"/>
        <v>460562.60569416045</v>
      </c>
      <c r="Q31" s="212">
        <f t="shared" si="3"/>
        <v>-1.9410420974639994E-10</v>
      </c>
      <c r="R31" s="212">
        <f t="shared" si="3"/>
        <v>-1.9410420974639994E-10</v>
      </c>
      <c r="S31" s="212">
        <f t="shared" si="3"/>
        <v>-1.9410420974639994E-10</v>
      </c>
      <c r="T31" s="212">
        <f t="shared" si="3"/>
        <v>-1.9410420974639994E-10</v>
      </c>
      <c r="U31" s="212">
        <f t="shared" si="3"/>
        <v>-1.9410420974639994E-10</v>
      </c>
      <c r="V31" s="212">
        <f t="shared" si="3"/>
        <v>-1.9410420974639994E-10</v>
      </c>
      <c r="W31" s="212">
        <f t="shared" si="3"/>
        <v>-1.9410420974639994E-10</v>
      </c>
      <c r="X31" s="212">
        <f t="shared" si="3"/>
        <v>-1.9410420974639994E-10</v>
      </c>
      <c r="Y31" s="212">
        <f t="shared" si="3"/>
        <v>-1.9410420974639994E-10</v>
      </c>
    </row>
    <row r="32" spans="2:25">
      <c r="B32" s="624" t="s">
        <v>388</v>
      </c>
      <c r="C32" s="625"/>
      <c r="D32" s="36">
        <f>F21</f>
        <v>4153928.9599043373</v>
      </c>
      <c r="E32" s="36">
        <f>E44</f>
        <v>4153928.9599043373</v>
      </c>
      <c r="F32" s="36">
        <f>F44</f>
        <v>4153928.9599043373</v>
      </c>
      <c r="G32" s="36">
        <f>G44</f>
        <v>3738536.0639139032</v>
      </c>
      <c r="H32" s="36">
        <f t="shared" ref="H32:Y32" si="4">H44</f>
        <v>3323143.1679234691</v>
      </c>
      <c r="I32" s="36">
        <f t="shared" si="4"/>
        <v>2907750.271933035</v>
      </c>
      <c r="J32" s="36">
        <f t="shared" si="4"/>
        <v>2492357.3759426009</v>
      </c>
      <c r="K32" s="36">
        <f t="shared" si="4"/>
        <v>2076964.479952167</v>
      </c>
      <c r="L32" s="36">
        <f t="shared" si="4"/>
        <v>1661571.5839617334</v>
      </c>
      <c r="M32" s="36">
        <f t="shared" si="4"/>
        <v>1246178.6879712997</v>
      </c>
      <c r="N32" s="36">
        <f t="shared" si="4"/>
        <v>830785.79198086611</v>
      </c>
      <c r="O32" s="36">
        <f t="shared" si="4"/>
        <v>415392.89599043241</v>
      </c>
      <c r="P32" s="36">
        <f t="shared" si="4"/>
        <v>-1.3387762010097504E-9</v>
      </c>
      <c r="Q32" s="36">
        <f t="shared" si="4"/>
        <v>-1.3387762010097504E-9</v>
      </c>
      <c r="R32" s="36">
        <f t="shared" si="4"/>
        <v>-1.3387762010097504E-9</v>
      </c>
      <c r="S32" s="36">
        <f t="shared" si="4"/>
        <v>-1.3387762010097504E-9</v>
      </c>
      <c r="T32" s="36">
        <f t="shared" si="4"/>
        <v>-1.3387762010097504E-9</v>
      </c>
      <c r="U32" s="36">
        <f t="shared" si="4"/>
        <v>-1.3387762010097504E-9</v>
      </c>
      <c r="V32" s="36">
        <f t="shared" si="4"/>
        <v>-1.3387762010097504E-9</v>
      </c>
      <c r="W32" s="36">
        <f t="shared" si="4"/>
        <v>-1.3387762010097504E-9</v>
      </c>
      <c r="X32" s="36">
        <f t="shared" si="4"/>
        <v>-1.3387762010097504E-9</v>
      </c>
      <c r="Y32" s="36">
        <f t="shared" si="4"/>
        <v>-1.3387762010097504E-9</v>
      </c>
    </row>
    <row r="33" spans="2:25">
      <c r="B33" s="9"/>
      <c r="C33" s="9"/>
      <c r="D33" s="9"/>
      <c r="E33" s="9"/>
      <c r="F33" s="9"/>
      <c r="G33" s="9"/>
      <c r="H33" s="9"/>
      <c r="I33" s="9"/>
      <c r="J33" s="9"/>
      <c r="K33" s="9"/>
      <c r="L33" s="9"/>
      <c r="M33" s="9"/>
      <c r="N33" s="9"/>
      <c r="O33" s="9"/>
      <c r="P33" s="9"/>
      <c r="Q33" s="9"/>
      <c r="R33" s="9"/>
      <c r="S33" s="9"/>
      <c r="T33" s="9"/>
      <c r="U33" s="9"/>
      <c r="V33" s="9"/>
      <c r="W33" s="9"/>
      <c r="X33" s="9"/>
      <c r="Y33" s="9"/>
    </row>
    <row r="34" spans="2:25">
      <c r="B34" s="629" t="s">
        <v>389</v>
      </c>
      <c r="C34" s="629"/>
    </row>
    <row r="35" spans="2:25">
      <c r="B35" s="622" t="s">
        <v>252</v>
      </c>
      <c r="C35" s="623"/>
      <c r="D35" s="211"/>
      <c r="E35" s="212">
        <f t="shared" ref="E35:Y35" si="5">IF($F$22&gt;=E26,0,IF(($F$23+$F$22)&lt;E26,0,$F$21/($F$23*(360/$L$23))))</f>
        <v>0</v>
      </c>
      <c r="F35" s="212">
        <f t="shared" si="5"/>
        <v>0</v>
      </c>
      <c r="G35" s="212">
        <f t="shared" si="5"/>
        <v>207696.44799521688</v>
      </c>
      <c r="H35" s="212">
        <f t="shared" si="5"/>
        <v>207696.44799521688</v>
      </c>
      <c r="I35" s="212">
        <f t="shared" si="5"/>
        <v>207696.44799521688</v>
      </c>
      <c r="J35" s="212">
        <f t="shared" si="5"/>
        <v>207696.44799521688</v>
      </c>
      <c r="K35" s="212">
        <f t="shared" si="5"/>
        <v>207696.44799521688</v>
      </c>
      <c r="L35" s="212">
        <f t="shared" si="5"/>
        <v>207696.44799521688</v>
      </c>
      <c r="M35" s="212">
        <f t="shared" si="5"/>
        <v>207696.44799521688</v>
      </c>
      <c r="N35" s="212">
        <f t="shared" si="5"/>
        <v>207696.44799521688</v>
      </c>
      <c r="O35" s="212">
        <f t="shared" si="5"/>
        <v>207696.44799521688</v>
      </c>
      <c r="P35" s="212">
        <f t="shared" si="5"/>
        <v>207696.44799521688</v>
      </c>
      <c r="Q35" s="212">
        <f t="shared" si="5"/>
        <v>0</v>
      </c>
      <c r="R35" s="212">
        <f t="shared" si="5"/>
        <v>0</v>
      </c>
      <c r="S35" s="212">
        <f t="shared" si="5"/>
        <v>0</v>
      </c>
      <c r="T35" s="212">
        <f t="shared" si="5"/>
        <v>0</v>
      </c>
      <c r="U35" s="212">
        <f t="shared" si="5"/>
        <v>0</v>
      </c>
      <c r="V35" s="212">
        <f t="shared" si="5"/>
        <v>0</v>
      </c>
      <c r="W35" s="212">
        <f t="shared" si="5"/>
        <v>0</v>
      </c>
      <c r="X35" s="212">
        <f t="shared" si="5"/>
        <v>0</v>
      </c>
      <c r="Y35" s="212">
        <f t="shared" si="5"/>
        <v>0</v>
      </c>
    </row>
    <row r="36" spans="2:25">
      <c r="B36" s="624" t="s">
        <v>386</v>
      </c>
      <c r="C36" s="625"/>
      <c r="D36" s="1"/>
      <c r="E36" s="36">
        <f>D32*(0.7*$J$20+0.3*$J$21)*($L$23/365)</f>
        <v>301131.39802484587</v>
      </c>
      <c r="F36" s="36">
        <f t="shared" ref="F36:Y36" si="6">E32*(0.7*$J$20+0.3*$J$21)*($L$23/365)</f>
        <v>301131.39802484587</v>
      </c>
      <c r="G36" s="36">
        <f t="shared" si="6"/>
        <v>301131.39802484587</v>
      </c>
      <c r="H36" s="36">
        <f t="shared" si="6"/>
        <v>271018.25822236127</v>
      </c>
      <c r="I36" s="36">
        <f t="shared" si="6"/>
        <v>240905.11841987664</v>
      </c>
      <c r="J36" s="36">
        <f t="shared" si="6"/>
        <v>210791.97861739204</v>
      </c>
      <c r="K36" s="36">
        <f t="shared" si="6"/>
        <v>180678.83881490742</v>
      </c>
      <c r="L36" s="36">
        <f t="shared" si="6"/>
        <v>150565.69901242282</v>
      </c>
      <c r="M36" s="36">
        <f t="shared" si="6"/>
        <v>120452.55920993825</v>
      </c>
      <c r="N36" s="36">
        <f t="shared" si="6"/>
        <v>90339.419407453664</v>
      </c>
      <c r="O36" s="36">
        <f t="shared" si="6"/>
        <v>60226.279604969081</v>
      </c>
      <c r="P36" s="36">
        <f t="shared" si="6"/>
        <v>30113.139802484497</v>
      </c>
      <c r="Q36" s="36">
        <f t="shared" si="6"/>
        <v>-9.7052104873199969E-11</v>
      </c>
      <c r="R36" s="36">
        <f t="shared" si="6"/>
        <v>-9.7052104873199969E-11</v>
      </c>
      <c r="S36" s="36">
        <f t="shared" si="6"/>
        <v>-9.7052104873199969E-11</v>
      </c>
      <c r="T36" s="36">
        <f t="shared" si="6"/>
        <v>-9.7052104873199969E-11</v>
      </c>
      <c r="U36" s="36">
        <f t="shared" si="6"/>
        <v>-9.7052104873199969E-11</v>
      </c>
      <c r="V36" s="36">
        <f t="shared" si="6"/>
        <v>-9.7052104873199969E-11</v>
      </c>
      <c r="W36" s="36">
        <f t="shared" si="6"/>
        <v>-9.7052104873199969E-11</v>
      </c>
      <c r="X36" s="36">
        <f t="shared" si="6"/>
        <v>-9.7052104873199969E-11</v>
      </c>
      <c r="Y36" s="36">
        <f t="shared" si="6"/>
        <v>-9.7052104873199969E-11</v>
      </c>
    </row>
    <row r="37" spans="2:25">
      <c r="B37" s="622" t="s">
        <v>253</v>
      </c>
      <c r="C37" s="623"/>
      <c r="D37" s="212"/>
      <c r="E37" s="212">
        <f>SUM(E35:E36)</f>
        <v>301131.39802484587</v>
      </c>
      <c r="F37" s="212">
        <f t="shared" ref="F37:H37" si="7">SUM(F35:F36)</f>
        <v>301131.39802484587</v>
      </c>
      <c r="G37" s="212">
        <f>SUM(G35:G36)</f>
        <v>508827.84602006275</v>
      </c>
      <c r="H37" s="212">
        <f t="shared" si="7"/>
        <v>478714.70621757815</v>
      </c>
      <c r="I37" s="212">
        <f t="shared" ref="I37" si="8">SUM(I35:I36)</f>
        <v>448601.56641509349</v>
      </c>
      <c r="J37" s="212">
        <f t="shared" ref="J37" si="9">SUM(J35:J36)</f>
        <v>418488.42661260895</v>
      </c>
      <c r="K37" s="212">
        <f t="shared" ref="K37" si="10">SUM(K35:K36)</f>
        <v>388375.28681012429</v>
      </c>
      <c r="L37" s="212">
        <f t="shared" ref="L37" si="11">SUM(L35:L36)</f>
        <v>358262.14700763969</v>
      </c>
      <c r="M37" s="212">
        <f t="shared" ref="M37" si="12">SUM(M35:M36)</f>
        <v>328149.0072051551</v>
      </c>
      <c r="N37" s="212">
        <f t="shared" ref="N37" si="13">SUM(N35:N36)</f>
        <v>298035.86740267056</v>
      </c>
      <c r="O37" s="212">
        <f t="shared" ref="O37" si="14">SUM(O35:O36)</f>
        <v>267922.72760018596</v>
      </c>
      <c r="P37" s="212">
        <f t="shared" ref="P37" si="15">SUM(P35:P36)</f>
        <v>237809.58779770136</v>
      </c>
      <c r="Q37" s="212">
        <f t="shared" ref="Q37" si="16">SUM(Q35:Q36)</f>
        <v>-9.7052104873199969E-11</v>
      </c>
      <c r="R37" s="212">
        <f t="shared" ref="R37" si="17">SUM(R35:R36)</f>
        <v>-9.7052104873199969E-11</v>
      </c>
      <c r="S37" s="212">
        <f t="shared" ref="S37" si="18">SUM(S35:S36)</f>
        <v>-9.7052104873199969E-11</v>
      </c>
      <c r="T37" s="212">
        <f t="shared" ref="T37" si="19">SUM(T35:T36)</f>
        <v>-9.7052104873199969E-11</v>
      </c>
      <c r="U37" s="212">
        <f t="shared" ref="U37" si="20">SUM(U35:U36)</f>
        <v>-9.7052104873199969E-11</v>
      </c>
      <c r="V37" s="212">
        <f t="shared" ref="V37" si="21">SUM(V35:V36)</f>
        <v>-9.7052104873199969E-11</v>
      </c>
      <c r="W37" s="212">
        <f t="shared" ref="W37" si="22">SUM(W35:W36)</f>
        <v>-9.7052104873199969E-11</v>
      </c>
      <c r="X37" s="212">
        <f t="shared" ref="X37" si="23">SUM(X35:X36)</f>
        <v>-9.7052104873199969E-11</v>
      </c>
      <c r="Y37" s="212">
        <f t="shared" ref="Y37" si="24">SUM(Y35:Y36)</f>
        <v>-9.7052104873199969E-11</v>
      </c>
    </row>
    <row r="38" spans="2:25">
      <c r="B38" s="624" t="s">
        <v>254</v>
      </c>
      <c r="C38" s="625"/>
      <c r="D38" s="36"/>
      <c r="E38" s="36">
        <f>D32-E35</f>
        <v>4153928.9599043373</v>
      </c>
      <c r="F38" s="36">
        <f>E32-F35</f>
        <v>4153928.9599043373</v>
      </c>
      <c r="G38" s="36">
        <f>F32-G35</f>
        <v>3946232.5119091203</v>
      </c>
      <c r="H38" s="36">
        <f>G32-H35</f>
        <v>3530839.6159186861</v>
      </c>
      <c r="I38" s="36">
        <f t="shared" ref="I38:Y38" si="25">H32-I35</f>
        <v>3115446.719928252</v>
      </c>
      <c r="J38" s="36">
        <f t="shared" si="25"/>
        <v>2700053.8239378179</v>
      </c>
      <c r="K38" s="36">
        <f t="shared" si="25"/>
        <v>2284660.9279473838</v>
      </c>
      <c r="L38" s="36">
        <f t="shared" si="25"/>
        <v>1869268.0319569502</v>
      </c>
      <c r="M38" s="36">
        <f t="shared" si="25"/>
        <v>1453875.1359665166</v>
      </c>
      <c r="N38" s="36">
        <f t="shared" si="25"/>
        <v>1038482.2399760829</v>
      </c>
      <c r="O38" s="36">
        <f t="shared" si="25"/>
        <v>623089.34398564929</v>
      </c>
      <c r="P38" s="36">
        <f t="shared" si="25"/>
        <v>207696.44799521554</v>
      </c>
      <c r="Q38" s="36">
        <f t="shared" si="25"/>
        <v>-1.3387762010097504E-9</v>
      </c>
      <c r="R38" s="36">
        <f t="shared" si="25"/>
        <v>-1.3387762010097504E-9</v>
      </c>
      <c r="S38" s="36">
        <f t="shared" si="25"/>
        <v>-1.3387762010097504E-9</v>
      </c>
      <c r="T38" s="36">
        <f t="shared" si="25"/>
        <v>-1.3387762010097504E-9</v>
      </c>
      <c r="U38" s="36">
        <f t="shared" si="25"/>
        <v>-1.3387762010097504E-9</v>
      </c>
      <c r="V38" s="36">
        <f t="shared" si="25"/>
        <v>-1.3387762010097504E-9</v>
      </c>
      <c r="W38" s="36">
        <f t="shared" si="25"/>
        <v>-1.3387762010097504E-9</v>
      </c>
      <c r="X38" s="36">
        <f t="shared" si="25"/>
        <v>-1.3387762010097504E-9</v>
      </c>
      <c r="Y38" s="36">
        <f t="shared" si="25"/>
        <v>-1.3387762010097504E-9</v>
      </c>
    </row>
    <row r="39" spans="2:25">
      <c r="B39" s="9"/>
      <c r="C39" s="9"/>
      <c r="D39" s="9"/>
      <c r="E39" s="9"/>
      <c r="F39" s="9"/>
    </row>
    <row r="40" spans="2:25">
      <c r="B40" s="629" t="s">
        <v>390</v>
      </c>
      <c r="C40" s="629"/>
      <c r="D40" s="9"/>
      <c r="E40" s="9"/>
      <c r="F40" s="9"/>
    </row>
    <row r="41" spans="2:25">
      <c r="B41" s="622" t="s">
        <v>252</v>
      </c>
      <c r="C41" s="623"/>
      <c r="D41" s="211"/>
      <c r="E41" s="211">
        <f>E35</f>
        <v>0</v>
      </c>
      <c r="F41" s="211">
        <f>F35</f>
        <v>0</v>
      </c>
      <c r="G41" s="212">
        <f>G35</f>
        <v>207696.44799521688</v>
      </c>
      <c r="H41" s="211">
        <f t="shared" ref="H41:Y41" si="26">H35</f>
        <v>207696.44799521688</v>
      </c>
      <c r="I41" s="211">
        <f t="shared" si="26"/>
        <v>207696.44799521688</v>
      </c>
      <c r="J41" s="211">
        <f t="shared" si="26"/>
        <v>207696.44799521688</v>
      </c>
      <c r="K41" s="211">
        <f t="shared" si="26"/>
        <v>207696.44799521688</v>
      </c>
      <c r="L41" s="211">
        <f t="shared" si="26"/>
        <v>207696.44799521688</v>
      </c>
      <c r="M41" s="211">
        <f t="shared" si="26"/>
        <v>207696.44799521688</v>
      </c>
      <c r="N41" s="211">
        <f t="shared" si="26"/>
        <v>207696.44799521688</v>
      </c>
      <c r="O41" s="211">
        <f t="shared" si="26"/>
        <v>207696.44799521688</v>
      </c>
      <c r="P41" s="211">
        <f t="shared" si="26"/>
        <v>207696.44799521688</v>
      </c>
      <c r="Q41" s="211">
        <f t="shared" si="26"/>
        <v>0</v>
      </c>
      <c r="R41" s="211">
        <f t="shared" si="26"/>
        <v>0</v>
      </c>
      <c r="S41" s="211">
        <f t="shared" si="26"/>
        <v>0</v>
      </c>
      <c r="T41" s="211">
        <f t="shared" si="26"/>
        <v>0</v>
      </c>
      <c r="U41" s="211">
        <f t="shared" si="26"/>
        <v>0</v>
      </c>
      <c r="V41" s="211">
        <f t="shared" si="26"/>
        <v>0</v>
      </c>
      <c r="W41" s="211">
        <f t="shared" si="26"/>
        <v>0</v>
      </c>
      <c r="X41" s="211">
        <f t="shared" si="26"/>
        <v>0</v>
      </c>
      <c r="Y41" s="211">
        <f t="shared" si="26"/>
        <v>0</v>
      </c>
    </row>
    <row r="42" spans="2:25">
      <c r="B42" s="624" t="s">
        <v>386</v>
      </c>
      <c r="C42" s="625"/>
      <c r="D42" s="1"/>
      <c r="E42" s="36">
        <f t="shared" ref="E42:Y42" si="27">E38*(0.7*$J$20+0.3*$J$21)*($L$23/365)</f>
        <v>301131.39802484587</v>
      </c>
      <c r="F42" s="36">
        <f t="shared" si="27"/>
        <v>301131.39802484587</v>
      </c>
      <c r="G42" s="36">
        <f t="shared" si="27"/>
        <v>286074.8281236036</v>
      </c>
      <c r="H42" s="36">
        <f t="shared" si="27"/>
        <v>255961.68832111897</v>
      </c>
      <c r="I42" s="36">
        <f t="shared" si="27"/>
        <v>225848.54851863434</v>
      </c>
      <c r="J42" s="36">
        <f t="shared" si="27"/>
        <v>195735.40871614974</v>
      </c>
      <c r="K42" s="36">
        <f t="shared" si="27"/>
        <v>165622.26891366512</v>
      </c>
      <c r="L42" s="36">
        <f t="shared" si="27"/>
        <v>135509.12911118055</v>
      </c>
      <c r="M42" s="36">
        <f t="shared" si="27"/>
        <v>105395.98930869595</v>
      </c>
      <c r="N42" s="36">
        <f t="shared" si="27"/>
        <v>75282.849506211365</v>
      </c>
      <c r="O42" s="36">
        <f t="shared" si="27"/>
        <v>45169.709703726789</v>
      </c>
      <c r="P42" s="36">
        <f t="shared" si="27"/>
        <v>15056.569901242199</v>
      </c>
      <c r="Q42" s="36">
        <f t="shared" si="27"/>
        <v>-9.7052104873199969E-11</v>
      </c>
      <c r="R42" s="36">
        <f t="shared" si="27"/>
        <v>-9.7052104873199969E-11</v>
      </c>
      <c r="S42" s="36">
        <f t="shared" si="27"/>
        <v>-9.7052104873199969E-11</v>
      </c>
      <c r="T42" s="36">
        <f t="shared" si="27"/>
        <v>-9.7052104873199969E-11</v>
      </c>
      <c r="U42" s="36">
        <f t="shared" si="27"/>
        <v>-9.7052104873199969E-11</v>
      </c>
      <c r="V42" s="36">
        <f t="shared" si="27"/>
        <v>-9.7052104873199969E-11</v>
      </c>
      <c r="W42" s="36">
        <f t="shared" si="27"/>
        <v>-9.7052104873199969E-11</v>
      </c>
      <c r="X42" s="36">
        <f t="shared" si="27"/>
        <v>-9.7052104873199969E-11</v>
      </c>
      <c r="Y42" s="36">
        <f t="shared" si="27"/>
        <v>-9.7052104873199969E-11</v>
      </c>
    </row>
    <row r="43" spans="2:25">
      <c r="B43" s="622" t="s">
        <v>256</v>
      </c>
      <c r="C43" s="623"/>
      <c r="D43" s="211"/>
      <c r="E43" s="212">
        <f>SUM(E41:E42)</f>
        <v>301131.39802484587</v>
      </c>
      <c r="F43" s="212">
        <f t="shared" ref="F43:G43" si="28">SUM(F41:F42)</f>
        <v>301131.39802484587</v>
      </c>
      <c r="G43" s="212">
        <f t="shared" si="28"/>
        <v>493771.27611882047</v>
      </c>
      <c r="H43" s="212">
        <f t="shared" ref="H43" si="29">SUM(H41:H42)</f>
        <v>463658.13631633588</v>
      </c>
      <c r="I43" s="212">
        <f t="shared" ref="I43" si="30">SUM(I41:I42)</f>
        <v>433544.99651385122</v>
      </c>
      <c r="J43" s="212">
        <f t="shared" ref="J43" si="31">SUM(J41:J42)</f>
        <v>403431.85671136662</v>
      </c>
      <c r="K43" s="212">
        <f t="shared" ref="K43" si="32">SUM(K41:K42)</f>
        <v>373318.71690888202</v>
      </c>
      <c r="L43" s="212">
        <f t="shared" ref="L43" si="33">SUM(L41:L42)</f>
        <v>343205.57710639742</v>
      </c>
      <c r="M43" s="212">
        <f t="shared" ref="M43" si="34">SUM(M41:M42)</f>
        <v>313092.43730391283</v>
      </c>
      <c r="N43" s="212">
        <f t="shared" ref="N43" si="35">SUM(N41:N42)</f>
        <v>282979.29750142823</v>
      </c>
      <c r="O43" s="212">
        <f t="shared" ref="O43" si="36">SUM(O41:O42)</f>
        <v>252866.15769894366</v>
      </c>
      <c r="P43" s="212">
        <f t="shared" ref="P43" si="37">SUM(P41:P42)</f>
        <v>222753.01789645909</v>
      </c>
      <c r="Q43" s="212">
        <f t="shared" ref="Q43" si="38">SUM(Q41:Q42)</f>
        <v>-9.7052104873199969E-11</v>
      </c>
      <c r="R43" s="212">
        <f t="shared" ref="R43" si="39">SUM(R41:R42)</f>
        <v>-9.7052104873199969E-11</v>
      </c>
      <c r="S43" s="212">
        <f t="shared" ref="S43" si="40">SUM(S41:S42)</f>
        <v>-9.7052104873199969E-11</v>
      </c>
      <c r="T43" s="212">
        <f t="shared" ref="T43" si="41">SUM(T41:T42)</f>
        <v>-9.7052104873199969E-11</v>
      </c>
      <c r="U43" s="212">
        <f t="shared" ref="U43" si="42">SUM(U41:U42)</f>
        <v>-9.7052104873199969E-11</v>
      </c>
      <c r="V43" s="212">
        <f t="shared" ref="V43" si="43">SUM(V41:V42)</f>
        <v>-9.7052104873199969E-11</v>
      </c>
      <c r="W43" s="212">
        <f t="shared" ref="W43" si="44">SUM(W41:W42)</f>
        <v>-9.7052104873199969E-11</v>
      </c>
      <c r="X43" s="212">
        <f t="shared" ref="X43" si="45">SUM(X41:X42)</f>
        <v>-9.7052104873199969E-11</v>
      </c>
      <c r="Y43" s="212">
        <f t="shared" ref="Y43" si="46">SUM(Y41:Y42)</f>
        <v>-9.7052104873199969E-11</v>
      </c>
    </row>
    <row r="44" spans="2:25">
      <c r="B44" s="624" t="s">
        <v>255</v>
      </c>
      <c r="C44" s="625"/>
      <c r="D44" s="1"/>
      <c r="E44" s="36">
        <f t="shared" ref="E44:Y44" si="47">E38-E41</f>
        <v>4153928.9599043373</v>
      </c>
      <c r="F44" s="36">
        <f t="shared" si="47"/>
        <v>4153928.9599043373</v>
      </c>
      <c r="G44" s="36">
        <f t="shared" si="47"/>
        <v>3738536.0639139032</v>
      </c>
      <c r="H44" s="36">
        <f t="shared" si="47"/>
        <v>3323143.1679234691</v>
      </c>
      <c r="I44" s="36">
        <f t="shared" si="47"/>
        <v>2907750.271933035</v>
      </c>
      <c r="J44" s="36">
        <f t="shared" si="47"/>
        <v>2492357.3759426009</v>
      </c>
      <c r="K44" s="36">
        <f t="shared" si="47"/>
        <v>2076964.479952167</v>
      </c>
      <c r="L44" s="36">
        <f t="shared" si="47"/>
        <v>1661571.5839617334</v>
      </c>
      <c r="M44" s="36">
        <f t="shared" si="47"/>
        <v>1246178.6879712997</v>
      </c>
      <c r="N44" s="36">
        <f t="shared" si="47"/>
        <v>830785.79198086611</v>
      </c>
      <c r="O44" s="36">
        <f t="shared" si="47"/>
        <v>415392.89599043241</v>
      </c>
      <c r="P44" s="36">
        <f t="shared" si="47"/>
        <v>-1.3387762010097504E-9</v>
      </c>
      <c r="Q44" s="36">
        <f t="shared" si="47"/>
        <v>-1.3387762010097504E-9</v>
      </c>
      <c r="R44" s="36">
        <f t="shared" si="47"/>
        <v>-1.3387762010097504E-9</v>
      </c>
      <c r="S44" s="36">
        <f t="shared" si="47"/>
        <v>-1.3387762010097504E-9</v>
      </c>
      <c r="T44" s="36">
        <f t="shared" si="47"/>
        <v>-1.3387762010097504E-9</v>
      </c>
      <c r="U44" s="36">
        <f t="shared" si="47"/>
        <v>-1.3387762010097504E-9</v>
      </c>
      <c r="V44" s="36">
        <f t="shared" si="47"/>
        <v>-1.3387762010097504E-9</v>
      </c>
      <c r="W44" s="36">
        <f t="shared" si="47"/>
        <v>-1.3387762010097504E-9</v>
      </c>
      <c r="X44" s="36">
        <f t="shared" si="47"/>
        <v>-1.3387762010097504E-9</v>
      </c>
      <c r="Y44" s="36">
        <f t="shared" si="47"/>
        <v>-1.3387762010097504E-9</v>
      </c>
    </row>
    <row r="45" spans="2:25">
      <c r="B45" s="9"/>
      <c r="C45" s="9"/>
      <c r="D45" s="9"/>
      <c r="E45" s="9"/>
      <c r="F45" s="9"/>
    </row>
    <row r="46" spans="2:25">
      <c r="B46" s="9"/>
      <c r="C46" s="9"/>
      <c r="D46" s="9"/>
      <c r="E46" s="9"/>
      <c r="F46" s="9"/>
    </row>
    <row r="47" spans="2:25">
      <c r="B47" s="9"/>
      <c r="C47" s="9"/>
      <c r="D47" s="9"/>
      <c r="E47" s="9"/>
      <c r="F47" s="9"/>
    </row>
    <row r="48" spans="2:25">
      <c r="B48" s="9"/>
      <c r="C48" s="9"/>
      <c r="D48" s="9"/>
      <c r="E48" s="9"/>
      <c r="F48" s="9"/>
    </row>
  </sheetData>
  <mergeCells count="15">
    <mergeCell ref="B41:C41"/>
    <mergeCell ref="B42:C42"/>
    <mergeCell ref="B43:C43"/>
    <mergeCell ref="B44:C44"/>
    <mergeCell ref="B26:C26"/>
    <mergeCell ref="B40:C40"/>
    <mergeCell ref="B34:C34"/>
    <mergeCell ref="B9:J9"/>
    <mergeCell ref="B31:C31"/>
    <mergeCell ref="B32:C32"/>
    <mergeCell ref="B38:C38"/>
    <mergeCell ref="B37:C37"/>
    <mergeCell ref="B36:C36"/>
    <mergeCell ref="B35:C35"/>
    <mergeCell ref="B15:D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Cálculo M.Obra</vt:lpstr>
      <vt:lpstr>Recursos</vt:lpstr>
      <vt:lpstr>Presupuesto M.O.</vt:lpstr>
      <vt:lpstr>COSTO MATERIALES</vt:lpstr>
      <vt:lpstr>RESUMEN PRESUPUESTO</vt:lpstr>
      <vt:lpstr>DEMANDA HORARIA PARQUE INDUST.</vt:lpstr>
      <vt:lpstr>ESTIMACIÓN DEM. DE POT MAXIMA</vt:lpstr>
      <vt:lpstr>ESTIMACIÓN DEM. DE ENERGÍA</vt:lpstr>
      <vt:lpstr>PRESTAMO BANCARIO</vt:lpstr>
      <vt:lpstr>INGRESOS</vt:lpstr>
      <vt:lpstr>EGRESOS</vt:lpstr>
      <vt:lpstr>FLUJO DE FONDO a 30</vt:lpstr>
      <vt:lpstr>RESUMEN FLUJO DE FONDO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Evange</dc:creator>
  <cp:lastModifiedBy>Evange</cp:lastModifiedBy>
  <cp:lastPrinted>2015-11-24T19:24:46Z</cp:lastPrinted>
  <dcterms:created xsi:type="dcterms:W3CDTF">2015-02-20T20:58:32Z</dcterms:created>
  <dcterms:modified xsi:type="dcterms:W3CDTF">2016-02-23T20:10:46Z</dcterms:modified>
</cp:coreProperties>
</file>