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2" documentId="11_F80EA69CDA20A2751870F34E48A15151CF42D152" xr6:coauthVersionLast="45" xr6:coauthVersionMax="45" xr10:uidLastSave="{CCE3AB26-89FE-45E8-B9F2-DF644CFF5A30}"/>
  <bookViews>
    <workbookView xWindow="20370" yWindow="-120" windowWidth="29040" windowHeight="15840" tabRatio="740" activeTab="8" xr2:uid="{00000000-000D-0000-FFFF-FFFF00000000}"/>
  </bookViews>
  <sheets>
    <sheet name="Confiabilidad" sheetId="9" r:id="rId1"/>
    <sheet name="ENS" sheetId="4" r:id="rId2"/>
    <sheet name="ENS (2)" sheetId="20" r:id="rId3"/>
    <sheet name="PRE Alternativa 1" sheetId="17" r:id="rId4"/>
    <sheet name="Obra A1" sheetId="16" r:id="rId5"/>
    <sheet name="PRE Alternativa 2" sheetId="12" r:id="rId6"/>
    <sheet name="PRE Alternativa 3" sheetId="18" r:id="rId7"/>
    <sheet name="VPC" sheetId="19" r:id="rId8"/>
    <sheet name="RESUMEN VPC" sheetId="21" r:id="rId9"/>
  </sheets>
  <externalReferences>
    <externalReference r:id="rId10"/>
    <externalReference r:id="rId11"/>
    <externalReference r:id="rId12"/>
    <externalReference r:id="rId13"/>
  </externalReferences>
  <definedNames>
    <definedName name="_xlnm.Print_Area" localSheetId="1">ENS!$B$2:$N$55</definedName>
    <definedName name="_xlnm.Print_Area" localSheetId="2">'ENS (2)'!$B$2:$N$59</definedName>
    <definedName name="_xlnm.Print_Area" localSheetId="4">'Obra A1'!$C$1:$J$43</definedName>
    <definedName name="_xlnm.Print_Area" localSheetId="3">'PRE Alternativa 1'!$B$2:$G$63</definedName>
    <definedName name="_xlnm.Print_Area" localSheetId="5">'PRE Alternativa 2'!$B$2:$F$16</definedName>
    <definedName name="_xlnm.Print_Area" localSheetId="6">'PRE Alternativa 3'!$B$2:$F$18</definedName>
    <definedName name="_xlnm.Print_Area" localSheetId="7">VPC!$B$2:$N$51</definedName>
    <definedName name="iacopio" localSheetId="4">'Obra A1'!#REF!</definedName>
    <definedName name="iacopio">'[1]Cert. N° 1 Pronunciamiento'!#REF!</definedName>
    <definedName name="sd" localSheetId="4">'Obra A1'!#REF!</definedName>
    <definedName name="sd">'[1]Cert. N° 1 Pronunciamiento'!#REF!</definedName>
    <definedName name="_xlnm.Print_Titles" localSheetId="4">'Obra A1'!$1:$5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1" i="19" l="1"/>
  <c r="N34" i="20" l="1"/>
  <c r="N38" i="20" s="1"/>
  <c r="M34" i="20"/>
  <c r="M38" i="20" s="1"/>
  <c r="L34" i="20"/>
  <c r="L38" i="20" s="1"/>
  <c r="K34" i="20"/>
  <c r="K38" i="20" s="1"/>
  <c r="J34" i="20"/>
  <c r="J38" i="20" s="1"/>
  <c r="I34" i="20"/>
  <c r="I38" i="20" s="1"/>
  <c r="H34" i="20"/>
  <c r="H38" i="20" s="1"/>
  <c r="G34" i="20"/>
  <c r="G38" i="20" s="1"/>
  <c r="F34" i="20"/>
  <c r="F38" i="20" s="1"/>
  <c r="E34" i="20"/>
  <c r="E38" i="20" s="1"/>
  <c r="D34" i="20"/>
  <c r="D38" i="20" s="1"/>
  <c r="N11" i="20"/>
  <c r="M11" i="20"/>
  <c r="L11" i="20"/>
  <c r="K11" i="20"/>
  <c r="J11" i="20"/>
  <c r="I11" i="20"/>
  <c r="H11" i="20"/>
  <c r="G11" i="20"/>
  <c r="F11" i="20"/>
  <c r="E11" i="20"/>
  <c r="D11" i="20"/>
  <c r="D4" i="12" l="1"/>
  <c r="F15" i="18" l="1"/>
  <c r="F5" i="18"/>
  <c r="F16" i="18"/>
  <c r="F14" i="18"/>
  <c r="F6" i="18"/>
  <c r="F4" i="18"/>
  <c r="F8" i="18" s="1"/>
  <c r="D29" i="19" s="1"/>
  <c r="O29" i="19" s="1"/>
  <c r="D7" i="21" s="1"/>
  <c r="F18" i="18" l="1"/>
  <c r="F14" i="12"/>
  <c r="F13" i="12"/>
  <c r="F5" i="12"/>
  <c r="F4" i="12"/>
  <c r="J37" i="17" l="1"/>
  <c r="J42" i="17" s="1"/>
  <c r="J45" i="17" s="1"/>
  <c r="J46" i="17" s="1"/>
  <c r="J47" i="17"/>
  <c r="J12" i="17"/>
  <c r="J48" i="17" l="1"/>
  <c r="J21" i="17"/>
  <c r="J26" i="17" s="1"/>
  <c r="I17" i="19" l="1"/>
  <c r="G61" i="17"/>
  <c r="G53" i="17"/>
  <c r="J31" i="17"/>
  <c r="G28" i="17"/>
  <c r="G27" i="17"/>
  <c r="G26" i="17"/>
  <c r="G25" i="17"/>
  <c r="G24" i="17"/>
  <c r="E23" i="17"/>
  <c r="G23" i="17" s="1"/>
  <c r="G22" i="17"/>
  <c r="G21" i="17"/>
  <c r="G20" i="17"/>
  <c r="G19" i="17"/>
  <c r="G18" i="17"/>
  <c r="G17" i="17"/>
  <c r="G16" i="17"/>
  <c r="G15" i="17"/>
  <c r="G14" i="17"/>
  <c r="J10" i="17"/>
  <c r="J13" i="17" s="1"/>
  <c r="H41" i="16"/>
  <c r="H40" i="16"/>
  <c r="H39" i="16"/>
  <c r="H38" i="16"/>
  <c r="H37" i="16"/>
  <c r="H36" i="16"/>
  <c r="H35" i="16"/>
  <c r="H34" i="16"/>
  <c r="H33" i="16"/>
  <c r="H32" i="16"/>
  <c r="H31" i="16"/>
  <c r="H30" i="16"/>
  <c r="H29" i="16"/>
  <c r="H28" i="16"/>
  <c r="H27" i="16"/>
  <c r="H26" i="16"/>
  <c r="H25" i="16"/>
  <c r="H24" i="16"/>
  <c r="H23" i="16"/>
  <c r="H20" i="16"/>
  <c r="H19" i="16"/>
  <c r="H18" i="16"/>
  <c r="H17" i="16"/>
  <c r="H16" i="16"/>
  <c r="H15" i="16"/>
  <c r="H14" i="16"/>
  <c r="H13" i="16"/>
  <c r="H12" i="16"/>
  <c r="H11" i="16"/>
  <c r="H10" i="16"/>
  <c r="H9" i="16"/>
  <c r="G30" i="17" l="1"/>
  <c r="J14" i="17"/>
  <c r="J15" i="17" s="1"/>
  <c r="J29" i="17"/>
  <c r="H8" i="16"/>
  <c r="E37" i="17" s="1"/>
  <c r="G37" i="17" s="1"/>
  <c r="H21" i="16"/>
  <c r="E38" i="17" s="1"/>
  <c r="G38" i="17" s="1"/>
  <c r="F16" i="12"/>
  <c r="J30" i="17" l="1"/>
  <c r="J32" i="17" s="1"/>
  <c r="E7" i="17" s="1"/>
  <c r="G7" i="17" s="1"/>
  <c r="G40" i="17"/>
  <c r="J16" i="17"/>
  <c r="E6" i="17" s="1"/>
  <c r="G6" i="17" s="1"/>
  <c r="H42" i="16"/>
  <c r="F7" i="12"/>
  <c r="D23" i="19" s="1"/>
  <c r="O23" i="19" s="1"/>
  <c r="D6" i="21" s="1"/>
  <c r="G9" i="17" l="1"/>
  <c r="G32" i="17" s="1"/>
  <c r="G42" i="17" s="1"/>
  <c r="G55" i="17" s="1"/>
  <c r="D17" i="19" s="1"/>
  <c r="O17" i="19" s="1"/>
  <c r="D5" i="21" s="1"/>
  <c r="I14" i="16"/>
  <c r="I18" i="16"/>
  <c r="I16" i="16"/>
  <c r="I34" i="16"/>
  <c r="I9" i="16"/>
  <c r="I10" i="16"/>
  <c r="I39" i="16"/>
  <c r="I13" i="16"/>
  <c r="I38" i="16"/>
  <c r="I26" i="16"/>
  <c r="I23" i="16"/>
  <c r="I19" i="16"/>
  <c r="I37" i="16"/>
  <c r="I17" i="16"/>
  <c r="I15" i="16"/>
  <c r="I20" i="16"/>
  <c r="I41" i="16"/>
  <c r="I32" i="16"/>
  <c r="I30" i="16"/>
  <c r="I24" i="16"/>
  <c r="I40" i="16"/>
  <c r="I29" i="16"/>
  <c r="I27" i="16"/>
  <c r="I31" i="16"/>
  <c r="I35" i="16"/>
  <c r="I36" i="16"/>
  <c r="I11" i="16"/>
  <c r="I28" i="16"/>
  <c r="I25" i="16"/>
  <c r="I12" i="16"/>
  <c r="I33" i="16"/>
  <c r="I21" i="16"/>
  <c r="I8" i="16"/>
  <c r="G63" i="17" l="1"/>
  <c r="I42" i="16"/>
  <c r="D33" i="4"/>
  <c r="D34" i="4" s="1"/>
  <c r="E33" i="4"/>
  <c r="E34" i="4" s="1"/>
  <c r="F33" i="4"/>
  <c r="F34" i="4" s="1"/>
  <c r="G33" i="4"/>
  <c r="G34" i="4" s="1"/>
  <c r="H33" i="4"/>
  <c r="H34" i="4" s="1"/>
  <c r="I33" i="4"/>
  <c r="I34" i="4" s="1"/>
  <c r="J33" i="4"/>
  <c r="J34" i="4" s="1"/>
  <c r="K33" i="4"/>
  <c r="K34" i="4" s="1"/>
  <c r="L33" i="4"/>
  <c r="L34" i="4" s="1"/>
  <c r="M33" i="4"/>
  <c r="M34" i="4" s="1"/>
  <c r="N33" i="4"/>
  <c r="N34" i="4" s="1"/>
  <c r="D11" i="4" l="1"/>
  <c r="E11" i="4"/>
  <c r="F11" i="4"/>
  <c r="G11" i="4"/>
  <c r="H11" i="4"/>
  <c r="I11" i="4"/>
  <c r="J11" i="4"/>
  <c r="K11" i="4"/>
  <c r="L11" i="4"/>
  <c r="M11" i="4"/>
  <c r="N11" i="4"/>
  <c r="D19" i="9" l="1"/>
  <c r="D20" i="9" s="1"/>
  <c r="D7" i="9"/>
  <c r="D9" i="9"/>
  <c r="C49" i="20" l="1"/>
  <c r="C21" i="20"/>
  <c r="C14" i="20"/>
  <c r="C56" i="20"/>
  <c r="C22" i="20"/>
  <c r="C15" i="20"/>
  <c r="C57" i="20"/>
  <c r="C50" i="20"/>
  <c r="D21" i="9"/>
  <c r="C53" i="4"/>
  <c r="C46" i="4"/>
  <c r="C15" i="4"/>
  <c r="C22" i="4"/>
  <c r="D10" i="9"/>
  <c r="C52" i="4"/>
  <c r="C45" i="4"/>
  <c r="C21" i="4"/>
  <c r="C14" i="4"/>
  <c r="C56" i="9"/>
  <c r="C54" i="9"/>
  <c r="D53" i="9"/>
  <c r="D54" i="9" s="1"/>
  <c r="C35" i="9"/>
  <c r="C37" i="9" s="1"/>
  <c r="C38" i="9" s="1"/>
  <c r="D34" i="9"/>
  <c r="D35" i="9" s="1"/>
  <c r="D37" i="9" s="1"/>
  <c r="F15" i="20" l="1"/>
  <c r="G15" i="20"/>
  <c r="H15" i="20"/>
  <c r="M15" i="20"/>
  <c r="I15" i="20"/>
  <c r="L15" i="20"/>
  <c r="N15" i="20"/>
  <c r="E15" i="20"/>
  <c r="D15" i="20"/>
  <c r="J15" i="20"/>
  <c r="K15" i="20"/>
  <c r="L14" i="20"/>
  <c r="I14" i="20"/>
  <c r="H14" i="20"/>
  <c r="M14" i="20"/>
  <c r="N14" i="20"/>
  <c r="K14" i="20"/>
  <c r="E14" i="20"/>
  <c r="F14" i="20"/>
  <c r="J14" i="20"/>
  <c r="G14" i="20"/>
  <c r="D14" i="20"/>
  <c r="F14" i="4"/>
  <c r="E14" i="4"/>
  <c r="J14" i="4"/>
  <c r="G14" i="4"/>
  <c r="M14" i="4"/>
  <c r="H14" i="4"/>
  <c r="N14" i="4"/>
  <c r="I14" i="4"/>
  <c r="D14" i="4"/>
  <c r="K14" i="4"/>
  <c r="L14" i="4"/>
  <c r="L15" i="4"/>
  <c r="G15" i="4"/>
  <c r="J15" i="4"/>
  <c r="E15" i="4"/>
  <c r="D15" i="4"/>
  <c r="K15" i="4"/>
  <c r="N15" i="4"/>
  <c r="I15" i="4"/>
  <c r="H15" i="4"/>
  <c r="F15" i="4"/>
  <c r="M15" i="4"/>
  <c r="C55" i="9"/>
  <c r="D56" i="9"/>
  <c r="D57" i="9" s="1"/>
  <c r="C57" i="9"/>
  <c r="D38" i="9"/>
  <c r="C39" i="9"/>
  <c r="C36" i="9"/>
  <c r="F21" i="20" l="1"/>
  <c r="F49" i="20"/>
  <c r="F56" i="20" s="1"/>
  <c r="M49" i="20"/>
  <c r="M56" i="20" s="1"/>
  <c r="M21" i="20"/>
  <c r="K22" i="20"/>
  <c r="K50" i="20"/>
  <c r="K57" i="20" s="1"/>
  <c r="N22" i="20"/>
  <c r="N50" i="20"/>
  <c r="N57" i="20" s="1"/>
  <c r="H50" i="20"/>
  <c r="H57" i="20" s="1"/>
  <c r="H22" i="20"/>
  <c r="D49" i="20"/>
  <c r="D56" i="20" s="1"/>
  <c r="D21" i="20"/>
  <c r="E49" i="20"/>
  <c r="E56" i="20" s="1"/>
  <c r="E21" i="20"/>
  <c r="H49" i="20"/>
  <c r="H56" i="20" s="1"/>
  <c r="H21" i="20"/>
  <c r="J22" i="20"/>
  <c r="J50" i="20"/>
  <c r="J57" i="20" s="1"/>
  <c r="L50" i="20"/>
  <c r="L57" i="20" s="1"/>
  <c r="L22" i="20"/>
  <c r="G22" i="20"/>
  <c r="G50" i="20"/>
  <c r="G57" i="20" s="1"/>
  <c r="C23" i="20"/>
  <c r="C16" i="20"/>
  <c r="C58" i="20"/>
  <c r="C51" i="20"/>
  <c r="G21" i="20"/>
  <c r="G49" i="20"/>
  <c r="G56" i="20" s="1"/>
  <c r="K21" i="20"/>
  <c r="K49" i="20"/>
  <c r="K56" i="20" s="1"/>
  <c r="I49" i="20"/>
  <c r="I56" i="20" s="1"/>
  <c r="I21" i="20"/>
  <c r="D50" i="20"/>
  <c r="D57" i="20" s="1"/>
  <c r="D22" i="20"/>
  <c r="I50" i="20"/>
  <c r="I57" i="20" s="1"/>
  <c r="I22" i="20"/>
  <c r="F22" i="20"/>
  <c r="F50" i="20"/>
  <c r="F57" i="20" s="1"/>
  <c r="J21" i="20"/>
  <c r="J49" i="20"/>
  <c r="J56" i="20" s="1"/>
  <c r="N21" i="20"/>
  <c r="N49" i="20"/>
  <c r="N56" i="20" s="1"/>
  <c r="L49" i="20"/>
  <c r="L56" i="20" s="1"/>
  <c r="L21" i="20"/>
  <c r="E50" i="20"/>
  <c r="E57" i="20" s="1"/>
  <c r="E22" i="20"/>
  <c r="M50" i="20"/>
  <c r="M57" i="20" s="1"/>
  <c r="M22" i="20"/>
  <c r="D22" i="4"/>
  <c r="D46" i="4"/>
  <c r="D53" i="4" s="1"/>
  <c r="I21" i="4"/>
  <c r="I45" i="4"/>
  <c r="I52" i="4" s="1"/>
  <c r="C40" i="9"/>
  <c r="C54" i="4"/>
  <c r="C47" i="4"/>
  <c r="C23" i="4"/>
  <c r="C16" i="4"/>
  <c r="I22" i="4"/>
  <c r="I46" i="4"/>
  <c r="I53" i="4" s="1"/>
  <c r="N45" i="4"/>
  <c r="N52" i="4" s="1"/>
  <c r="N21" i="4"/>
  <c r="N22" i="4"/>
  <c r="N46" i="4"/>
  <c r="N53" i="4" s="1"/>
  <c r="J22" i="4"/>
  <c r="J46" i="4"/>
  <c r="J53" i="4" s="1"/>
  <c r="K21" i="4"/>
  <c r="K45" i="4"/>
  <c r="K52" i="4" s="1"/>
  <c r="H21" i="4"/>
  <c r="H45" i="4"/>
  <c r="H52" i="4" s="1"/>
  <c r="E21" i="4"/>
  <c r="E45" i="4"/>
  <c r="E52" i="4" s="1"/>
  <c r="H22" i="4"/>
  <c r="H46" i="4"/>
  <c r="H53" i="4" s="1"/>
  <c r="L22" i="4"/>
  <c r="L46" i="4"/>
  <c r="L53" i="4" s="1"/>
  <c r="G21" i="4"/>
  <c r="G45" i="4"/>
  <c r="G52" i="4" s="1"/>
  <c r="E22" i="4"/>
  <c r="E46" i="4"/>
  <c r="E53" i="4" s="1"/>
  <c r="L21" i="4"/>
  <c r="L45" i="4"/>
  <c r="L52" i="4" s="1"/>
  <c r="J45" i="4"/>
  <c r="J52" i="4" s="1"/>
  <c r="J21" i="4"/>
  <c r="M22" i="4"/>
  <c r="M46" i="4"/>
  <c r="M53" i="4" s="1"/>
  <c r="F22" i="4"/>
  <c r="F46" i="4"/>
  <c r="F53" i="4" s="1"/>
  <c r="K46" i="4"/>
  <c r="K53" i="4" s="1"/>
  <c r="K22" i="4"/>
  <c r="G22" i="4"/>
  <c r="G46" i="4"/>
  <c r="G53" i="4" s="1"/>
  <c r="D45" i="4"/>
  <c r="D52" i="4" s="1"/>
  <c r="D21" i="4"/>
  <c r="M21" i="4"/>
  <c r="M45" i="4"/>
  <c r="M52" i="4" s="1"/>
  <c r="F21" i="4"/>
  <c r="F45" i="4"/>
  <c r="F52" i="4" s="1"/>
  <c r="C58" i="9"/>
  <c r="C59" i="20" l="1"/>
  <c r="C52" i="20"/>
  <c r="C24" i="20"/>
  <c r="C17" i="20"/>
  <c r="J10" i="19"/>
  <c r="J12" i="19" s="1"/>
  <c r="D16" i="19"/>
  <c r="D18" i="19" s="1"/>
  <c r="F10" i="19"/>
  <c r="F12" i="19" s="1"/>
  <c r="M16" i="19"/>
  <c r="M18" i="19" s="1"/>
  <c r="L10" i="19"/>
  <c r="L12" i="19" s="1"/>
  <c r="G10" i="19"/>
  <c r="G12" i="19" s="1"/>
  <c r="H16" i="19"/>
  <c r="H18" i="19" s="1"/>
  <c r="H10" i="19"/>
  <c r="H12" i="19" s="1"/>
  <c r="J16" i="19"/>
  <c r="J18" i="19" s="1"/>
  <c r="D10" i="19"/>
  <c r="D12" i="19" s="1"/>
  <c r="K16" i="19"/>
  <c r="K18" i="19" s="1"/>
  <c r="N10" i="19"/>
  <c r="N12" i="19" s="1"/>
  <c r="I10" i="19"/>
  <c r="I12" i="19" s="1"/>
  <c r="I16" i="20"/>
  <c r="J16" i="20"/>
  <c r="G16" i="20"/>
  <c r="D16" i="20"/>
  <c r="M16" i="20"/>
  <c r="N16" i="20"/>
  <c r="L16" i="20"/>
  <c r="E16" i="20"/>
  <c r="H16" i="20"/>
  <c r="F16" i="20"/>
  <c r="K16" i="20"/>
  <c r="M10" i="19"/>
  <c r="M12" i="19" s="1"/>
  <c r="G16" i="19"/>
  <c r="G18" i="19" s="1"/>
  <c r="F16" i="19"/>
  <c r="F18" i="19" s="1"/>
  <c r="E16" i="19"/>
  <c r="L16" i="19"/>
  <c r="L18" i="19" s="1"/>
  <c r="E10" i="19"/>
  <c r="K10" i="19"/>
  <c r="K12" i="19" s="1"/>
  <c r="N16" i="19"/>
  <c r="N18" i="19" s="1"/>
  <c r="I16" i="19"/>
  <c r="I18" i="19" s="1"/>
  <c r="C59" i="9"/>
  <c r="C55" i="4"/>
  <c r="C48" i="4"/>
  <c r="C24" i="4"/>
  <c r="C17" i="4"/>
  <c r="K16" i="4"/>
  <c r="F16" i="4"/>
  <c r="I16" i="4"/>
  <c r="E16" i="4"/>
  <c r="H16" i="4"/>
  <c r="J16" i="4"/>
  <c r="L16" i="4"/>
  <c r="G16" i="4"/>
  <c r="N16" i="4"/>
  <c r="D16" i="4"/>
  <c r="M16" i="4"/>
  <c r="O16" i="19" l="1"/>
  <c r="E5" i="21" s="1"/>
  <c r="F5" i="21" s="1"/>
  <c r="E12" i="19"/>
  <c r="O12" i="19" s="1"/>
  <c r="O10" i="19"/>
  <c r="E4" i="21" s="1"/>
  <c r="F4" i="21" s="1"/>
  <c r="E18" i="19"/>
  <c r="O18" i="19" s="1"/>
  <c r="H51" i="20"/>
  <c r="H58" i="20" s="1"/>
  <c r="H23" i="20"/>
  <c r="M51" i="20"/>
  <c r="M58" i="20" s="1"/>
  <c r="M23" i="20"/>
  <c r="I51" i="20"/>
  <c r="I58" i="20" s="1"/>
  <c r="I23" i="20"/>
  <c r="E51" i="20"/>
  <c r="E58" i="20" s="1"/>
  <c r="E23" i="20"/>
  <c r="D51" i="20"/>
  <c r="D58" i="20" s="1"/>
  <c r="D23" i="20"/>
  <c r="K23" i="20"/>
  <c r="K51" i="20"/>
  <c r="K58" i="20" s="1"/>
  <c r="L51" i="20"/>
  <c r="L58" i="20" s="1"/>
  <c r="L23" i="20"/>
  <c r="G23" i="20"/>
  <c r="G51" i="20"/>
  <c r="G58" i="20" s="1"/>
  <c r="F23" i="20"/>
  <c r="F51" i="20"/>
  <c r="F58" i="20" s="1"/>
  <c r="N23" i="20"/>
  <c r="N51" i="20"/>
  <c r="N58" i="20" s="1"/>
  <c r="J23" i="20"/>
  <c r="J51" i="20"/>
  <c r="J58" i="20" s="1"/>
  <c r="J17" i="20"/>
  <c r="G17" i="20"/>
  <c r="K17" i="20"/>
  <c r="N17" i="20"/>
  <c r="H17" i="20"/>
  <c r="M17" i="20"/>
  <c r="F17" i="20"/>
  <c r="L17" i="20"/>
  <c r="D17" i="20"/>
  <c r="E17" i="20"/>
  <c r="I17" i="20"/>
  <c r="D23" i="4"/>
  <c r="D47" i="4"/>
  <c r="D54" i="4" s="1"/>
  <c r="J23" i="4"/>
  <c r="J47" i="4"/>
  <c r="J54" i="4" s="1"/>
  <c r="F47" i="4"/>
  <c r="F54" i="4" s="1"/>
  <c r="F23" i="4"/>
  <c r="N23" i="4"/>
  <c r="N47" i="4"/>
  <c r="N54" i="4" s="1"/>
  <c r="H23" i="4"/>
  <c r="H47" i="4"/>
  <c r="H54" i="4" s="1"/>
  <c r="K23" i="4"/>
  <c r="K47" i="4"/>
  <c r="K54" i="4" s="1"/>
  <c r="G23" i="4"/>
  <c r="G47" i="4"/>
  <c r="G54" i="4" s="1"/>
  <c r="E23" i="4"/>
  <c r="E47" i="4"/>
  <c r="E54" i="4" s="1"/>
  <c r="M47" i="4"/>
  <c r="M54" i="4" s="1"/>
  <c r="M23" i="4"/>
  <c r="L47" i="4"/>
  <c r="L54" i="4" s="1"/>
  <c r="L23" i="4"/>
  <c r="I23" i="4"/>
  <c r="I47" i="4"/>
  <c r="I54" i="4" s="1"/>
  <c r="F17" i="4"/>
  <c r="D17" i="4"/>
  <c r="L17" i="4"/>
  <c r="H17" i="4"/>
  <c r="I17" i="4"/>
  <c r="G17" i="4"/>
  <c r="J17" i="4"/>
  <c r="E17" i="4"/>
  <c r="M17" i="4"/>
  <c r="K17" i="4"/>
  <c r="N17" i="4"/>
  <c r="L22" i="19" l="1"/>
  <c r="L24" i="19" s="1"/>
  <c r="I52" i="20"/>
  <c r="I59" i="20" s="1"/>
  <c r="I24" i="20"/>
  <c r="F24" i="20"/>
  <c r="F52" i="20"/>
  <c r="F59" i="20" s="1"/>
  <c r="K24" i="20"/>
  <c r="K52" i="20"/>
  <c r="K59" i="20" s="1"/>
  <c r="I22" i="19"/>
  <c r="I24" i="19" s="1"/>
  <c r="G22" i="19"/>
  <c r="G24" i="19" s="1"/>
  <c r="H22" i="19"/>
  <c r="H24" i="19" s="1"/>
  <c r="D22" i="19"/>
  <c r="D24" i="19" s="1"/>
  <c r="E52" i="20"/>
  <c r="E59" i="20" s="1"/>
  <c r="E24" i="20"/>
  <c r="M52" i="20"/>
  <c r="M59" i="20" s="1"/>
  <c r="M24" i="20"/>
  <c r="G52" i="20"/>
  <c r="G59" i="20" s="1"/>
  <c r="G24" i="20"/>
  <c r="M22" i="19"/>
  <c r="M24" i="19" s="1"/>
  <c r="F22" i="19"/>
  <c r="F24" i="19" s="1"/>
  <c r="D52" i="20"/>
  <c r="D59" i="20" s="1"/>
  <c r="D24" i="20"/>
  <c r="H24" i="20"/>
  <c r="H52" i="20"/>
  <c r="H59" i="20" s="1"/>
  <c r="J52" i="20"/>
  <c r="J59" i="20" s="1"/>
  <c r="J24" i="20"/>
  <c r="E22" i="19"/>
  <c r="K22" i="19"/>
  <c r="K24" i="19" s="1"/>
  <c r="N22" i="19"/>
  <c r="N24" i="19" s="1"/>
  <c r="J22" i="19"/>
  <c r="J24" i="19" s="1"/>
  <c r="L52" i="20"/>
  <c r="L59" i="20" s="1"/>
  <c r="L24" i="20"/>
  <c r="N52" i="20"/>
  <c r="N59" i="20" s="1"/>
  <c r="N24" i="20"/>
  <c r="D24" i="4"/>
  <c r="D48" i="4"/>
  <c r="D55" i="4" s="1"/>
  <c r="K24" i="4"/>
  <c r="K48" i="4"/>
  <c r="K55" i="4" s="1"/>
  <c r="G24" i="4"/>
  <c r="G48" i="4"/>
  <c r="G55" i="4" s="1"/>
  <c r="M24" i="4"/>
  <c r="M48" i="4"/>
  <c r="M55" i="4" s="1"/>
  <c r="I24" i="4"/>
  <c r="I48" i="4"/>
  <c r="I55" i="4" s="1"/>
  <c r="F24" i="4"/>
  <c r="F48" i="4"/>
  <c r="F55" i="4" s="1"/>
  <c r="E24" i="4"/>
  <c r="E48" i="4"/>
  <c r="E55" i="4" s="1"/>
  <c r="H24" i="4"/>
  <c r="H48" i="4"/>
  <c r="H55" i="4" s="1"/>
  <c r="N24" i="4"/>
  <c r="N48" i="4"/>
  <c r="N55" i="4" s="1"/>
  <c r="J24" i="4"/>
  <c r="J48" i="4"/>
  <c r="J55" i="4" s="1"/>
  <c r="L24" i="4"/>
  <c r="L48" i="4"/>
  <c r="L55" i="4" s="1"/>
  <c r="O22" i="19" l="1"/>
  <c r="E6" i="21" s="1"/>
  <c r="F6" i="21" s="1"/>
  <c r="E24" i="19"/>
  <c r="O24" i="19" s="1"/>
  <c r="J28" i="19"/>
  <c r="J30" i="19" s="1"/>
  <c r="H28" i="19"/>
  <c r="H30" i="19" s="1"/>
  <c r="M28" i="19"/>
  <c r="M30" i="19" s="1"/>
  <c r="K28" i="19"/>
  <c r="K30" i="19" s="1"/>
  <c r="L28" i="19"/>
  <c r="L30" i="19" s="1"/>
  <c r="N28" i="19"/>
  <c r="N30" i="19" s="1"/>
  <c r="E28" i="19"/>
  <c r="I28" i="19"/>
  <c r="I30" i="19" s="1"/>
  <c r="G28" i="19"/>
  <c r="G30" i="19" s="1"/>
  <c r="D28" i="19"/>
  <c r="D30" i="19" s="1"/>
  <c r="F28" i="19"/>
  <c r="F30" i="19" s="1"/>
  <c r="O28" i="19" l="1"/>
  <c r="E7" i="21" s="1"/>
  <c r="F7" i="21" s="1"/>
  <c r="E30" i="19"/>
  <c r="O30"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6" authorId="0" shapeId="0" xr:uid="{00000000-0006-0000-0300-000001000000}">
      <text>
        <r>
          <rPr>
            <b/>
            <sz val="9"/>
            <color indexed="81"/>
            <rFont val="Tahoma"/>
            <family val="2"/>
          </rPr>
          <t>Autor:</t>
        </r>
        <r>
          <rPr>
            <sz val="9"/>
            <color indexed="81"/>
            <rFont val="Tahoma"/>
            <family val="2"/>
          </rPr>
          <t xml:space="preserve">
Valor sin IVA, y considerando impuestos de importación un valor aproximado de 5%</t>
        </r>
      </text>
    </comment>
    <comment ref="I25" authorId="0" shapeId="0" xr:uid="{00000000-0006-0000-0300-000002000000}">
      <text>
        <r>
          <rPr>
            <b/>
            <sz val="9"/>
            <color indexed="81"/>
            <rFont val="Tahoma"/>
            <family val="2"/>
          </rPr>
          <t>Autor:</t>
        </r>
        <r>
          <rPr>
            <sz val="9"/>
            <color indexed="81"/>
            <rFont val="Tahoma"/>
            <family val="2"/>
          </rPr>
          <t xml:space="preserve">
Valor de flete tomado desde puerto en España a puerto de BsAs.
El mas economico vale 609 USD, el intermedio 740 USD, y el mas caro 1000 USD.
</t>
        </r>
      </text>
    </comment>
    <comment ref="I41" authorId="0" shapeId="0" xr:uid="{00000000-0006-0000-0300-000003000000}">
      <text>
        <r>
          <rPr>
            <b/>
            <sz val="9"/>
            <color indexed="81"/>
            <rFont val="Tahoma"/>
            <family val="2"/>
          </rPr>
          <t>Autor:</t>
        </r>
        <r>
          <rPr>
            <sz val="9"/>
            <color indexed="81"/>
            <rFont val="Tahoma"/>
            <family val="2"/>
          </rPr>
          <t xml:space="preserve">
Valor de flete tomado desde puerto en España a puerto de BsAs.
El mas economico vale 609 USD, el intermedio 740 USD, y el mas caro 1000 USD.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3" authorId="0" shapeId="0" xr:uid="{00000000-0006-0000-0500-000001000000}">
      <text>
        <r>
          <rPr>
            <b/>
            <sz val="9"/>
            <color indexed="81"/>
            <rFont val="Tahoma"/>
            <family val="2"/>
          </rPr>
          <t>Autor:</t>
        </r>
        <r>
          <rPr>
            <sz val="9"/>
            <color indexed="81"/>
            <rFont val="Tahoma"/>
            <family val="2"/>
          </rPr>
          <t xml:space="preserve">
Precio unitario por kilometro, incluida la mano de obra.
</t>
        </r>
      </text>
    </comment>
    <comment ref="D12" authorId="0" shapeId="0" xr:uid="{00000000-0006-0000-0500-000002000000}">
      <text>
        <r>
          <rPr>
            <b/>
            <sz val="9"/>
            <color indexed="81"/>
            <rFont val="Tahoma"/>
            <family val="2"/>
          </rPr>
          <t>Autor:</t>
        </r>
        <r>
          <rPr>
            <sz val="9"/>
            <color indexed="81"/>
            <rFont val="Tahoma"/>
            <family val="2"/>
          </rPr>
          <t xml:space="preserve">
Precio unitario por kilometro, incluida la mano de obra.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3" authorId="0" shapeId="0" xr:uid="{00000000-0006-0000-0600-000001000000}">
      <text>
        <r>
          <rPr>
            <b/>
            <sz val="9"/>
            <color indexed="81"/>
            <rFont val="Tahoma"/>
            <family val="2"/>
          </rPr>
          <t>Autor:</t>
        </r>
        <r>
          <rPr>
            <sz val="9"/>
            <color indexed="81"/>
            <rFont val="Tahoma"/>
            <family val="2"/>
          </rPr>
          <t xml:space="preserve">
Precio unitario por kilometro, incluida la mano de obra.
</t>
        </r>
      </text>
    </comment>
    <comment ref="D13" authorId="0" shapeId="0" xr:uid="{00000000-0006-0000-0600-000002000000}">
      <text>
        <r>
          <rPr>
            <b/>
            <sz val="9"/>
            <color indexed="81"/>
            <rFont val="Tahoma"/>
            <family val="2"/>
          </rPr>
          <t>Autor:</t>
        </r>
        <r>
          <rPr>
            <sz val="9"/>
            <color indexed="81"/>
            <rFont val="Tahoma"/>
            <family val="2"/>
          </rPr>
          <t xml:space="preserve">
Precio unitario por kilometro, incluida la mano de obra.
</t>
        </r>
      </text>
    </comment>
  </commentList>
</comments>
</file>

<file path=xl/sharedStrings.xml><?xml version="1.0" encoding="utf-8"?>
<sst xmlns="http://schemas.openxmlformats.org/spreadsheetml/2006/main" count="472" uniqueCount="248">
  <si>
    <t>Año</t>
  </si>
  <si>
    <t>Valor ENS</t>
  </si>
  <si>
    <t>Probabilidad de falla</t>
  </si>
  <si>
    <t>Tipo de falla</t>
  </si>
  <si>
    <t>Longitud total del distribuidor 7D44:</t>
  </si>
  <si>
    <t>L</t>
  </si>
  <si>
    <t>km</t>
  </si>
  <si>
    <t>Simple</t>
  </si>
  <si>
    <t>Severa</t>
  </si>
  <si>
    <t>u</t>
  </si>
  <si>
    <t>horas</t>
  </si>
  <si>
    <t>Salidas de servicio / 100 km / año</t>
  </si>
  <si>
    <t>Horas f/s</t>
  </si>
  <si>
    <t>Horas f/s totales</t>
  </si>
  <si>
    <t>(*) Datos obtenidos en el archivo "Análisis de interrupciones.xlsx"</t>
  </si>
  <si>
    <t>Confiabilidad</t>
  </si>
  <si>
    <t>Probabilidad total de falla</t>
  </si>
  <si>
    <t>Confiabilidad total</t>
  </si>
  <si>
    <t>Estado actual de la red</t>
  </si>
  <si>
    <t>Alternativa 2: nuevo alimentador en 13,2 kV</t>
  </si>
  <si>
    <t>Alternativa 1: Banco de baterías  + Regulador automático de tensión</t>
  </si>
  <si>
    <t>Salidas de servicio / año (*)</t>
  </si>
  <si>
    <t>Horas f/s totales /año (*)</t>
  </si>
  <si>
    <t>Longitud</t>
  </si>
  <si>
    <t>Horas f/s totales /año (**)</t>
  </si>
  <si>
    <t>(**) Datos obtenidos en el archivo "Dimensionamiento BESS.xlsx"</t>
  </si>
  <si>
    <t>Tasa de falla (eventos/km/año) (***)</t>
  </si>
  <si>
    <t>Tiempo de reposición (***)</t>
  </si>
  <si>
    <t>Alternativa 3: nuevo alimentador en 33 kV</t>
  </si>
  <si>
    <t>(***) Tasas de falla proporcionadas por ENERSA - Sector Planificación</t>
  </si>
  <si>
    <t>Alternativa 1</t>
  </si>
  <si>
    <t>Alternativa 2</t>
  </si>
  <si>
    <t>Alternativa 3</t>
  </si>
  <si>
    <t>(A) Energía no suminstrada por indisponibilidad</t>
  </si>
  <si>
    <t>USD/kWh</t>
  </si>
  <si>
    <t>Cálculo de Energía no suministradada</t>
  </si>
  <si>
    <t>Configuración de abastecimiento</t>
  </si>
  <si>
    <t>Demanda proyectada (kWh)</t>
  </si>
  <si>
    <t>Red actual</t>
  </si>
  <si>
    <t>(C) Energía no suminstrada total (A + B)</t>
  </si>
  <si>
    <t>Todas las soluciones proyectadas superan los requerimientos de tensión en el punto abastecido, por lo que no se considera ENS por este concepto.</t>
  </si>
  <si>
    <t>CENS (USD)</t>
  </si>
  <si>
    <t>Celda de 13,2kV Entrada/Salida Comando Motor</t>
  </si>
  <si>
    <t>SET 33/13,2 kV de 5 MVA, simple barra, una linea en 33 kV y 3 salidas en 13,2 kV, equipamiento exterior con telemando</t>
  </si>
  <si>
    <t>Transformador Subtransmisión 2500 kVA  33/13,86kV</t>
  </si>
  <si>
    <t>Inversión</t>
  </si>
  <si>
    <t>Total (USD)</t>
  </si>
  <si>
    <t>(B) Energía no suminstrada por transgresión de banda de tolerancia de tensión</t>
  </si>
  <si>
    <t>ENS de la Red actual por transgresión de banda de tolerancia de tensión (kWh) (B)</t>
  </si>
  <si>
    <r>
      <t xml:space="preserve">Alternativa 1 </t>
    </r>
    <r>
      <rPr>
        <sz val="11"/>
        <color theme="1"/>
        <rFont val="Calibri"/>
        <family val="2"/>
        <scheme val="minor"/>
      </rPr>
      <t>BESS + RAT</t>
    </r>
  </si>
  <si>
    <r>
      <t xml:space="preserve">Alternativa 2 </t>
    </r>
    <r>
      <rPr>
        <sz val="11"/>
        <color theme="1"/>
        <rFont val="Calibri"/>
        <family val="2"/>
        <scheme val="minor"/>
      </rPr>
      <t>Nuevo alimentador 13,2 kV</t>
    </r>
  </si>
  <si>
    <t>Presupuesto - Obra civil y montaje electromecánico</t>
  </si>
  <si>
    <t>ITEM</t>
  </si>
  <si>
    <t>ITEM ENERSA</t>
  </si>
  <si>
    <t>UNIDAD</t>
  </si>
  <si>
    <t>PRECIO TOTAL DEL ITEM (USD)</t>
  </si>
  <si>
    <t>INCIDENCIA (%)</t>
  </si>
  <si>
    <t>OBRA CIVIL</t>
  </si>
  <si>
    <t>Replanteo y Proyecto</t>
  </si>
  <si>
    <t>Global</t>
  </si>
  <si>
    <t>Relleno, Nivelación y Compactación del terreno</t>
  </si>
  <si>
    <t>Cerco Perimetral y Portón de acceso</t>
  </si>
  <si>
    <t>Platea de reguladores de tensión con cerco 1,20 m</t>
  </si>
  <si>
    <t>Platea banco de baterías</t>
  </si>
  <si>
    <t>Cisterna separadora de aceites</t>
  </si>
  <si>
    <t>Fundaciones de Hormigón Simple</t>
  </si>
  <si>
    <t>Cañeros y Cámaras de registro</t>
  </si>
  <si>
    <t>Alcantarilla y Pavimento</t>
  </si>
  <si>
    <t>Estructuras soporte para equipos</t>
  </si>
  <si>
    <t>3.5</t>
  </si>
  <si>
    <t>Estructura de retención recta (RR+1)</t>
  </si>
  <si>
    <t>Cjto</t>
  </si>
  <si>
    <t>Sistema de Puesta a Tierra</t>
  </si>
  <si>
    <t>MONTAJE ELECTROMECÁNICO</t>
  </si>
  <si>
    <t>EQUIPAMIENTO  DE MANIOBRA</t>
  </si>
  <si>
    <t>12.2</t>
  </si>
  <si>
    <t>Reconectador Trifásico para 13,2 kV</t>
  </si>
  <si>
    <t>-</t>
  </si>
  <si>
    <t>Seccionador Tripolar Bajo Carga 13,2kV 600A Horizontal c/ PAT + c/comando + motorizado</t>
  </si>
  <si>
    <t>12.4</t>
  </si>
  <si>
    <t>Seccionador tripolar a cuernos p/15kV-400A - c/aisl. de resina c/cuch. PAT + c/comando</t>
  </si>
  <si>
    <t>12.5</t>
  </si>
  <si>
    <t>Seccionador tripolar a cuernos p/15kV-400A - c/aisl. de resina s/cuch. PAT + c/comando</t>
  </si>
  <si>
    <t>12.7</t>
  </si>
  <si>
    <t>Transformadores de Corriente para 13,2 kV</t>
  </si>
  <si>
    <t>12.8</t>
  </si>
  <si>
    <t>Transformadores de Tension para 13,2 kV</t>
  </si>
  <si>
    <t>12.9</t>
  </si>
  <si>
    <t>Seccionadores fusibles para 13,2 kV (TV)</t>
  </si>
  <si>
    <t>12.11</t>
  </si>
  <si>
    <t>Descargadores de Sobretensión para 13,2 kV</t>
  </si>
  <si>
    <t>12.12</t>
  </si>
  <si>
    <t>Seccionador by-pass a cuchilla para 13,2 kV</t>
  </si>
  <si>
    <t>Banco de Baterías (Montaje)</t>
  </si>
  <si>
    <t>Banco de reguladores automáticos de tensión (Montaje)</t>
  </si>
  <si>
    <t>Barras, Conexiones entre equipos, Conductores y Cable de Guardia</t>
  </si>
  <si>
    <t>Tendido cable Subterráneo de 13,2 kV - Acometidas y terminales</t>
  </si>
  <si>
    <t>Tendido cable subterráneo de comando, medición  y protección</t>
  </si>
  <si>
    <t>Servicios Auxiliares - Montaje trafo y tendido BT</t>
  </si>
  <si>
    <t>Iluminación exterior de Playa</t>
  </si>
  <si>
    <t>Ensayos de recepción y puesta en servicio</t>
  </si>
  <si>
    <t>Documentación conforme a obra</t>
  </si>
  <si>
    <t>Limpieza final de obra y pintura general e identificación de las instalaciones</t>
  </si>
  <si>
    <r>
      <t xml:space="preserve">Equipamiento principal (Importación) </t>
    </r>
    <r>
      <rPr>
        <vertAlign val="superscript"/>
        <sz val="20"/>
        <color theme="1"/>
        <rFont val="Calibri"/>
        <family val="2"/>
        <scheme val="minor"/>
      </rPr>
      <t>(*)</t>
    </r>
  </si>
  <si>
    <t>Ítem</t>
  </si>
  <si>
    <t>Descripción</t>
  </si>
  <si>
    <t>Precio Unitario (USD)</t>
  </si>
  <si>
    <t xml:space="preserve">Cant. </t>
  </si>
  <si>
    <t>PLP-R</t>
  </si>
  <si>
    <t>PLP-B</t>
  </si>
  <si>
    <t>Distancia de fabrica-Pna.</t>
  </si>
  <si>
    <t>(*) Ver detalle de Cálculo de costo de importación en las tablas a la derecha.</t>
  </si>
  <si>
    <t>Peso</t>
  </si>
  <si>
    <r>
      <t xml:space="preserve">Equipamiento electromecánico general </t>
    </r>
    <r>
      <rPr>
        <vertAlign val="superscript"/>
        <sz val="20"/>
        <color theme="1"/>
        <rFont val="Calibri"/>
        <family val="2"/>
        <scheme val="minor"/>
      </rPr>
      <t>(**)</t>
    </r>
  </si>
  <si>
    <t>Matrícula ENERSA</t>
  </si>
  <si>
    <t>Unidad de medida</t>
  </si>
  <si>
    <t>Cant.</t>
  </si>
  <si>
    <t>03329921025</t>
  </si>
  <si>
    <t>Aislador Polimérico T.Montaje Rígido para 13,2kV</t>
  </si>
  <si>
    <t>Pieza</t>
  </si>
  <si>
    <t>03329924580</t>
  </si>
  <si>
    <t>Aislador Polimérico a Horquilla p/Retención 13,2kV</t>
  </si>
  <si>
    <t>03330507051</t>
  </si>
  <si>
    <t>Descargador Polimérico para 13,2kV</t>
  </si>
  <si>
    <t>03332115501</t>
  </si>
  <si>
    <t>Reconectador Trifásico 13,2 kV</t>
  </si>
  <si>
    <t>03332510002</t>
  </si>
  <si>
    <t>Control electrónico p/reconectador Cooper mod. FXA  alim.120-240 V AC/50 Hz</t>
  </si>
  <si>
    <t>03332716025</t>
  </si>
  <si>
    <t>Seccionador fusible unip. APR de 160A - t/NH T00</t>
  </si>
  <si>
    <t>03334500020</t>
  </si>
  <si>
    <t>Seccionador fusible t/Kearney p/13,2 kV - 125kVBIL</t>
  </si>
  <si>
    <t>03335040022</t>
  </si>
  <si>
    <t>Seccionador tripolar a cuernos p/13,2kV 400A epoxi</t>
  </si>
  <si>
    <t>03335360027</t>
  </si>
  <si>
    <t>Seccionador Tripolar Bajo Carga 13,2kV 600A Horizontal</t>
  </si>
  <si>
    <t>Seccionador by-pass a Cuchilla 13,2kV 600A Epoxi</t>
  </si>
  <si>
    <t>04202502526</t>
  </si>
  <si>
    <t>Transformador Rural 25kVA 13,2/0,4kV Trifásico</t>
  </si>
  <si>
    <t>04205063023</t>
  </si>
  <si>
    <t>Transformador Seco en Resina 630kVA 13,2/0,4kV</t>
  </si>
  <si>
    <t>04212060155</t>
  </si>
  <si>
    <t>T.I. 13,2kV 10-20/5A Exterior 15VA</t>
  </si>
  <si>
    <t xml:space="preserve">Peso </t>
  </si>
  <si>
    <t>04223291084</t>
  </si>
  <si>
    <t>T.T. 13,2/V3 - 0,11/V3 kV Exterior 20VA</t>
  </si>
  <si>
    <t>Cont. 40 pies</t>
  </si>
  <si>
    <t>13116612029</t>
  </si>
  <si>
    <t>C.A.S. 3x120 mm² Al 13,2kV (XLPE)</t>
  </si>
  <si>
    <t>Metro</t>
  </si>
  <si>
    <t>Obra civil y montaje electromecánico</t>
  </si>
  <si>
    <t>Concepto</t>
  </si>
  <si>
    <t>Obra civil</t>
  </si>
  <si>
    <t>Montaje electromecánico</t>
  </si>
  <si>
    <t>OneDrive - ENERSA\Lucas Mateo - PF MATEO - ZEBALLOS\PF MATEO-ZEBALLOS\02-Marco teórico\Tecnologias\Baterias</t>
  </si>
  <si>
    <t>Descripción general del equipamiento</t>
  </si>
  <si>
    <t>Radioenlace con mástil de 18 m, RTU, módulos E/S digitales y analógicas con switch</t>
  </si>
  <si>
    <t>TOTAL ALTERNATIVA 1-A (CON RADIOENLACE)</t>
  </si>
  <si>
    <t>Telemetría y operación de baja criticidad vía GSM/GPRS</t>
  </si>
  <si>
    <t>2 módulos de comunicación GSM/GPRS, RTU, módulos E/S digitales y analógicas con switch</t>
  </si>
  <si>
    <t>TOTAL ALTERNATIVA 1-B (CON GSM/GPRS)</t>
  </si>
  <si>
    <t>Presupuestos opcionales con telemando y/o telemetría</t>
  </si>
  <si>
    <t>Telemando con radioenlace</t>
  </si>
  <si>
    <t>Costos importación estimados (5%)</t>
  </si>
  <si>
    <t>Seguro de carga (0,5%)</t>
  </si>
  <si>
    <t>Origen: Brasil (producto Mercosur)</t>
  </si>
  <si>
    <t>Flete argentino internacional</t>
  </si>
  <si>
    <t>Valor flete arg</t>
  </si>
  <si>
    <t>Flete marítimo</t>
  </si>
  <si>
    <t>Distancia Bs. As. - Paraná</t>
  </si>
  <si>
    <t>Flete terrestre hasta Paraná</t>
  </si>
  <si>
    <t>Estimación de costos de importación</t>
  </si>
  <si>
    <t>Costos importación estimados (20%, incluye AEC)</t>
  </si>
  <si>
    <t xml:space="preserve">Dimensión </t>
  </si>
  <si>
    <t>t</t>
  </si>
  <si>
    <t>USD/km.t</t>
  </si>
  <si>
    <t>Valor FOB (*)</t>
  </si>
  <si>
    <t>Valor CIF (*)</t>
  </si>
  <si>
    <t>Valor CIF )(*)</t>
  </si>
  <si>
    <t>Valor EXW (*)</t>
  </si>
  <si>
    <t>Valor en almacén de ENERSA (DDP) (*)</t>
  </si>
  <si>
    <t>Origen: Europa (producto NO MERCOSUR)</t>
  </si>
  <si>
    <t>Reguladores automáticos de tensión TOSHIBA 7,62 kV - 50 A</t>
  </si>
  <si>
    <t>BESS 325 kWh - 300 kVA (Compra inicial 2020)</t>
  </si>
  <si>
    <t>BESS 130 kWh - 200 kVA (Repotenciación 2025)</t>
  </si>
  <si>
    <t>(*) INCOTERMS ® 2010</t>
  </si>
  <si>
    <t>DENOMINACION Y CARACTERISTICA</t>
  </si>
  <si>
    <t>CANT.</t>
  </si>
  <si>
    <t>Presupuesto CRAE Sin telemando</t>
  </si>
  <si>
    <t>RAT TOSHIBA SVR 38,1 kVA - 7,62 kV-50 A</t>
  </si>
  <si>
    <t xml:space="preserve">BESS CESM ABB325 kWh - 300 kVA </t>
  </si>
  <si>
    <t xml:space="preserve">(**) Valores de los materiales en pesos actualizados al 18/09/19, según Almacenes de ENERSA, </t>
  </si>
  <si>
    <t>convertidos en USD de acuerdo al tipo de cambio vigente.</t>
  </si>
  <si>
    <t>PRECIO UNITARIO (USD)</t>
  </si>
  <si>
    <t>TOTAL OBRA CIVIL Y MONTAJE ELECTROMECÁNICO</t>
  </si>
  <si>
    <t>13.1</t>
  </si>
  <si>
    <t>13.2</t>
  </si>
  <si>
    <t>13.3</t>
  </si>
  <si>
    <t>13.4</t>
  </si>
  <si>
    <t>13.5</t>
  </si>
  <si>
    <t>13.6</t>
  </si>
  <si>
    <t>13.7</t>
  </si>
  <si>
    <t>13.8</t>
  </si>
  <si>
    <t>13.9</t>
  </si>
  <si>
    <t>SUBTOTAL EQ. PRINCIPAL (A)</t>
  </si>
  <si>
    <t>SUBTOTAL EQ. GENERAL (B)</t>
  </si>
  <si>
    <t>TOTAL EQUIPAMIENTO (A + B)</t>
  </si>
  <si>
    <t>TOTAL OBRA Y MONTAJE (C)</t>
  </si>
  <si>
    <t>TOTAL ALTERNATIVA 1 (SIN TELEMANDO) (A + B + C)</t>
  </si>
  <si>
    <t>TOTAL ALTERNATIVA 2-A</t>
  </si>
  <si>
    <t>Precio unitario</t>
  </si>
  <si>
    <t>TOTAL ALTERNATIVA 2-B</t>
  </si>
  <si>
    <r>
      <t xml:space="preserve">Nuevo alimentador en 13,2 kV, postación mixta </t>
    </r>
    <r>
      <rPr>
        <vertAlign val="superscript"/>
        <sz val="20"/>
        <color theme="1"/>
        <rFont val="Calibri"/>
        <family val="2"/>
        <scheme val="minor"/>
      </rPr>
      <t>(*)</t>
    </r>
  </si>
  <si>
    <r>
      <t xml:space="preserve">Nuevo alimentador en 13,2 kV, postación H° A° </t>
    </r>
    <r>
      <rPr>
        <vertAlign val="superscript"/>
        <sz val="20"/>
        <color theme="1"/>
        <rFont val="Calibri"/>
        <family val="2"/>
        <scheme val="minor"/>
      </rPr>
      <t>(*)</t>
    </r>
  </si>
  <si>
    <t>(*) Precios unitarios en USD a dic/2018 proporcionados por ENERSA - Área Transmisión.</t>
  </si>
  <si>
    <r>
      <t xml:space="preserve">Nuevo alimentador en 33 kV postación mixta y SET 33/13,2 kV  </t>
    </r>
    <r>
      <rPr>
        <vertAlign val="superscript"/>
        <sz val="20"/>
        <color theme="1"/>
        <rFont val="Calibri"/>
        <family val="2"/>
        <scheme val="minor"/>
      </rPr>
      <t>(*)</t>
    </r>
  </si>
  <si>
    <r>
      <t xml:space="preserve">Nuevo alimentador en 33 kV postación H° A° y SET 33/13,2 kV  </t>
    </r>
    <r>
      <rPr>
        <vertAlign val="superscript"/>
        <sz val="20"/>
        <color theme="1"/>
        <rFont val="Calibri"/>
        <family val="2"/>
        <scheme val="minor"/>
      </rPr>
      <t>(*)</t>
    </r>
  </si>
  <si>
    <t>Línea con aislación rígida tipo "Line Post", postación H° A°, disposición coplanar vertical  y cable de 70/12 mm2 ACSR</t>
  </si>
  <si>
    <t>Línea con aislación rígida tipo "Line Post", postación mixta (madera / hormigón), disposición coplanar vertical  y cable de 70/12 mm2 ACSR</t>
  </si>
  <si>
    <t>Línea con aislación rígida line post, postación mixta (madera / hormigón), disposición coplanar vertical y cable de 50/8 mm2 ACSR</t>
  </si>
  <si>
    <t>Línea con aislación rígida tipo "Line Post", postación H° A°, disposición coplanar vertical y cable de 50/8 mm2 ACSR</t>
  </si>
  <si>
    <t>ENS por indisponibilidad (kWh) (A.1)</t>
  </si>
  <si>
    <t>CENS por indisponibilidad (USD) (A.2)</t>
  </si>
  <si>
    <t>ENS (kWh) (B.1)</t>
  </si>
  <si>
    <t>CENS (USD) (B.2)</t>
  </si>
  <si>
    <t>ENS total (kWh) (A.1 + B.1)</t>
  </si>
  <si>
    <t>CENS total (USD) (A.2 + B.2)</t>
  </si>
  <si>
    <t>Todas las soluciones proyectadas superan los requerimientos de tensión en el punto abastecido, por lo que sólo se computará ENS por desconexión de demanda para la configuración actual del sistema de abastecimiento.</t>
  </si>
  <si>
    <t>TOTAL ALTERNATIVA 3-A</t>
  </si>
  <si>
    <t>TOTAL ALTERNATIVA 3-B</t>
  </si>
  <si>
    <t>(B) Energía no suminstrada por saturación</t>
  </si>
  <si>
    <t>ENS por saturación (kWh) (B.1)</t>
  </si>
  <si>
    <t>CENS por saturación (USD) (B.2)</t>
  </si>
  <si>
    <r>
      <t xml:space="preserve">Alternativa 3 </t>
    </r>
    <r>
      <rPr>
        <sz val="11"/>
        <color theme="1"/>
        <rFont val="Calibri"/>
        <family val="2"/>
        <scheme val="minor"/>
      </rPr>
      <t>Nuevo alimentador 33 kV + SET 33/13,2 kV</t>
    </r>
  </si>
  <si>
    <r>
      <t xml:space="preserve">Red actual         </t>
    </r>
    <r>
      <rPr>
        <sz val="11"/>
        <color theme="1"/>
        <rFont val="Calibri"/>
        <family val="2"/>
        <scheme val="minor"/>
      </rPr>
      <t>13,2 kV</t>
    </r>
  </si>
  <si>
    <t>Inversión (USD)</t>
  </si>
  <si>
    <t>Valor presente de los costos (VPC)</t>
  </si>
  <si>
    <t>Según Resolución N° 214/1997 EPRE.</t>
  </si>
  <si>
    <t>Tasa de descuento aplicada:</t>
  </si>
  <si>
    <t>VPC (USD)</t>
  </si>
  <si>
    <t>ENS</t>
  </si>
  <si>
    <t>TOTAL</t>
  </si>
  <si>
    <t>Resumen - Valor presente de los costos (VPC)</t>
  </si>
  <si>
    <t>Sin modificaciones</t>
  </si>
  <si>
    <t>RAT + BESS (E.R.A.E)</t>
  </si>
  <si>
    <t>Nuevo alimentador 13,2 kV</t>
  </si>
  <si>
    <t>Nuevo alimentador 33 kV + SET 33/13,2 kV</t>
  </si>
  <si>
    <t>Alternativa de 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</si>
</sst>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 &quot;€&quot;_-;\-* #,##0.00\ &quot;€&quot;_-;_-* &quot;-&quot;??\ &quot;€&quot;_-;_-@_-"/>
    <numFmt numFmtId="165" formatCode="_-* #,##0.00\ _€_-;\-* #,##0.00\ _€_-;_-* &quot;-&quot;??\ _€_-;_-@_-"/>
    <numFmt numFmtId="166" formatCode="_-* #,##0.00\ [$USD]_-;\-* #,##0.00\ [$USD]_-;_-* &quot;-&quot;??\ [$USD]_-;_-@_-"/>
    <numFmt numFmtId="167" formatCode="0.0"/>
    <numFmt numFmtId="168" formatCode="0.00000"/>
    <numFmt numFmtId="169" formatCode="_-[$USD]\ * #,##0.00_-;\-[$USD]\ * #,##0.00_-;_-[$USD]\ * &quot;-&quot;??_-;_-@_-"/>
    <numFmt numFmtId="170" formatCode="_-&quot;$&quot;* #,##0.00_-;\-&quot;$&quot;* #,##0.00_-;_-&quot;$&quot;* &quot;-&quot;??_-;_-@_-"/>
    <numFmt numFmtId="171" formatCode="[$USD]\ #,##0.00"/>
    <numFmt numFmtId="172" formatCode="[$$-2C0A]\ #,##0.00"/>
    <numFmt numFmtId="173" formatCode="0.0000%"/>
    <numFmt numFmtId="174" formatCode="0.0%"/>
    <numFmt numFmtId="175" formatCode="&quot;$&quot;\ #,##0.00;&quot;$&quot;\ \-#,##0.00"/>
    <numFmt numFmtId="176" formatCode="_ &quot;$&quot;\ * #,##0.00_ ;_ &quot;$&quot;\ * \-#,##0.00_ ;_ &quot;$&quot;\ * &quot;-&quot;??_ ;_ @_ "/>
    <numFmt numFmtId="177" formatCode="#,##0_ ;\-#,##0\ "/>
    <numFmt numFmtId="178" formatCode="#,##0.00_ ;\-#,##0.00\ "/>
    <numFmt numFmtId="179" formatCode="[$USD]\ #,##0.00;\-[$USD]\ #,##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i/>
      <sz val="10"/>
      <color theme="1"/>
      <name val="Calibri"/>
      <family val="2"/>
      <scheme val="minor"/>
    </font>
    <font>
      <sz val="11"/>
      <name val="Calibri"/>
      <family val="2"/>
      <scheme val="minor"/>
    </font>
    <font>
      <b/>
      <sz val="18"/>
      <color theme="1"/>
      <name val="Calibri"/>
      <family val="2"/>
      <scheme val="minor"/>
    </font>
    <font>
      <sz val="20"/>
      <color theme="1"/>
      <name val="Calibri"/>
      <family val="2"/>
      <scheme val="minor"/>
    </font>
    <font>
      <b/>
      <sz val="11"/>
      <name val="Calibri"/>
      <family val="2"/>
      <scheme val="minor"/>
    </font>
    <font>
      <b/>
      <sz val="9"/>
      <color indexed="81"/>
      <name val="Tahoma"/>
      <family val="2"/>
    </font>
    <font>
      <sz val="9"/>
      <color indexed="81"/>
      <name val="Tahoma"/>
      <family val="2"/>
    </font>
    <font>
      <sz val="10"/>
      <color theme="1"/>
      <name val="Calibri"/>
      <family val="2"/>
      <scheme val="minor"/>
    </font>
    <font>
      <sz val="10"/>
      <name val="Calibri"/>
      <family val="2"/>
      <scheme val="minor"/>
    </font>
    <font>
      <b/>
      <sz val="20"/>
      <color indexed="8"/>
      <name val="Calibri"/>
      <family val="2"/>
      <scheme val="minor"/>
    </font>
    <font>
      <b/>
      <sz val="10"/>
      <color indexed="8"/>
      <name val="Calibri"/>
      <family val="2"/>
      <scheme val="minor"/>
    </font>
    <font>
      <b/>
      <sz val="10"/>
      <name val="Calibri"/>
      <family val="2"/>
      <scheme val="minor"/>
    </font>
    <font>
      <sz val="10"/>
      <color indexed="8"/>
      <name val="Calibri"/>
      <family val="2"/>
      <scheme val="minor"/>
    </font>
    <font>
      <b/>
      <sz val="10"/>
      <color theme="1"/>
      <name val="Calibri"/>
      <family val="2"/>
      <scheme val="minor"/>
    </font>
    <font>
      <sz val="14"/>
      <color theme="1"/>
      <name val="Calibri"/>
      <family val="2"/>
      <scheme val="minor"/>
    </font>
    <font>
      <vertAlign val="superscript"/>
      <sz val="20"/>
      <color theme="1"/>
      <name val="Calibri"/>
      <family val="2"/>
      <scheme val="minor"/>
    </font>
    <font>
      <b/>
      <i/>
      <sz val="9"/>
      <color theme="1"/>
      <name val="Calibri"/>
      <family val="2"/>
      <scheme val="minor"/>
    </font>
    <font>
      <b/>
      <i/>
      <sz val="8"/>
      <color theme="1"/>
      <name val="Calibri"/>
      <family val="2"/>
      <scheme val="minor"/>
    </font>
    <font>
      <i/>
      <sz val="9"/>
      <color theme="1"/>
      <name val="Calibri"/>
      <family val="2"/>
      <scheme val="minor"/>
    </font>
    <font>
      <b/>
      <sz val="14"/>
      <color indexed="8"/>
      <name val="Calibri"/>
      <family val="2"/>
      <scheme val="minor"/>
    </font>
    <font>
      <b/>
      <sz val="11"/>
      <color theme="0"/>
      <name val="Calibri"/>
      <family val="2"/>
      <scheme val="minor"/>
    </font>
    <font>
      <b/>
      <sz val="14"/>
      <name val="Calibri"/>
      <family val="2"/>
      <scheme val="minor"/>
    </font>
  </fonts>
  <fills count="19">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FFD966"/>
        <bgColor indexed="64"/>
      </patternFill>
    </fill>
    <fill>
      <patternFill patternType="solid">
        <fgColor rgb="FFA9D08E"/>
        <bgColor indexed="64"/>
      </patternFill>
    </fill>
    <fill>
      <patternFill patternType="solid">
        <fgColor rgb="FFFFCC0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theme="5"/>
      </patternFill>
    </fill>
    <fill>
      <patternFill patternType="solid">
        <fgColor theme="5" tint="0.59999389629810485"/>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right style="thin">
        <color indexed="64"/>
      </right>
      <top style="medium">
        <color indexed="64"/>
      </top>
      <bottom style="medium">
        <color indexed="64"/>
      </bottom>
      <diagonal/>
    </border>
    <border>
      <left/>
      <right/>
      <top style="medium">
        <color auto="1"/>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auto="1"/>
      </right>
      <top style="medium">
        <color indexed="64"/>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indexed="64"/>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top style="medium">
        <color indexed="64"/>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7">
    <xf numFmtId="0" fontId="0" fillId="0" borderId="0"/>
    <xf numFmtId="164"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cellStyleXfs>
  <cellXfs count="396">
    <xf numFmtId="0" fontId="0" fillId="0" borderId="0" xfId="0"/>
    <xf numFmtId="3" fontId="0" fillId="0" borderId="1" xfId="0" applyNumberFormat="1" applyFill="1" applyBorder="1" applyAlignment="1">
      <alignment horizontal="center"/>
    </xf>
    <xf numFmtId="0" fontId="0" fillId="0" borderId="1" xfId="0" applyBorder="1"/>
    <xf numFmtId="167" fontId="0" fillId="0" borderId="1" xfId="0" applyNumberFormat="1" applyBorder="1"/>
    <xf numFmtId="0" fontId="0" fillId="0" borderId="1" xfId="0" applyFont="1" applyBorder="1"/>
    <xf numFmtId="0" fontId="4" fillId="0" borderId="0" xfId="0" applyFont="1"/>
    <xf numFmtId="0" fontId="2" fillId="2" borderId="1" xfId="0" applyFont="1" applyFill="1" applyBorder="1"/>
    <xf numFmtId="0" fontId="0" fillId="0" borderId="0" xfId="0" applyFont="1"/>
    <xf numFmtId="0" fontId="6" fillId="0" borderId="0" xfId="0" applyFont="1"/>
    <xf numFmtId="0" fontId="2" fillId="0" borderId="0" xfId="0" applyFont="1"/>
    <xf numFmtId="0" fontId="0" fillId="0" borderId="5" xfId="0" applyBorder="1"/>
    <xf numFmtId="0" fontId="0" fillId="0" borderId="6" xfId="0" applyBorder="1"/>
    <xf numFmtId="0" fontId="0" fillId="0" borderId="7"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Fill="1" applyBorder="1"/>
    <xf numFmtId="0" fontId="0" fillId="0" borderId="12" xfId="0" applyBorder="1"/>
    <xf numFmtId="0" fontId="0" fillId="0" borderId="13" xfId="0" applyBorder="1"/>
    <xf numFmtId="0" fontId="0" fillId="0" borderId="9" xfId="0" applyFont="1" applyBorder="1"/>
    <xf numFmtId="0" fontId="0" fillId="0" borderId="11" xfId="0" applyBorder="1"/>
    <xf numFmtId="168" fontId="0" fillId="0" borderId="1" xfId="0" applyNumberFormat="1" applyFill="1" applyBorder="1"/>
    <xf numFmtId="0" fontId="0" fillId="0" borderId="9" xfId="0" applyFill="1" applyBorder="1"/>
    <xf numFmtId="168" fontId="0" fillId="0" borderId="12" xfId="0" applyNumberFormat="1" applyFill="1" applyBorder="1"/>
    <xf numFmtId="167" fontId="0" fillId="6" borderId="1" xfId="0" applyNumberFormat="1" applyFill="1" applyBorder="1"/>
    <xf numFmtId="0" fontId="0" fillId="6" borderId="1" xfId="0" applyFill="1" applyBorder="1"/>
    <xf numFmtId="0" fontId="0" fillId="6" borderId="0" xfId="0" applyFill="1"/>
    <xf numFmtId="167" fontId="0" fillId="6" borderId="7" xfId="0" applyNumberFormat="1" applyFill="1" applyBorder="1"/>
    <xf numFmtId="0" fontId="0" fillId="0" borderId="1" xfId="0" applyFont="1" applyFill="1" applyBorder="1"/>
    <xf numFmtId="167" fontId="0" fillId="0" borderId="1" xfId="0" applyNumberFormat="1" applyFont="1" applyFill="1" applyBorder="1"/>
    <xf numFmtId="168" fontId="0" fillId="0" borderId="1" xfId="0" applyNumberFormat="1" applyFont="1" applyFill="1" applyBorder="1"/>
    <xf numFmtId="0" fontId="3" fillId="0" borderId="5" xfId="0" applyFont="1" applyBorder="1"/>
    <xf numFmtId="0" fontId="0" fillId="0" borderId="10" xfId="0" applyFill="1" applyBorder="1"/>
    <xf numFmtId="0" fontId="0" fillId="0" borderId="9" xfId="0" applyFont="1" applyFill="1" applyBorder="1"/>
    <xf numFmtId="0" fontId="0" fillId="0" borderId="13" xfId="0" applyFill="1" applyBorder="1"/>
    <xf numFmtId="0" fontId="0" fillId="4" borderId="1" xfId="0" applyFont="1" applyFill="1" applyBorder="1" applyAlignment="1">
      <alignment horizontal="center"/>
    </xf>
    <xf numFmtId="2" fontId="0" fillId="6" borderId="1" xfId="0" applyNumberFormat="1" applyFill="1" applyBorder="1"/>
    <xf numFmtId="0" fontId="7" fillId="6" borderId="0" xfId="0" applyFont="1" applyFill="1"/>
    <xf numFmtId="0" fontId="0" fillId="0" borderId="10" xfId="0" applyFont="1" applyFill="1" applyBorder="1"/>
    <xf numFmtId="0" fontId="0" fillId="0" borderId="13" xfId="0" applyFont="1" applyFill="1" applyBorder="1"/>
    <xf numFmtId="0" fontId="0" fillId="0" borderId="11" xfId="0" applyFont="1" applyFill="1" applyBorder="1"/>
    <xf numFmtId="0" fontId="0" fillId="4" borderId="6" xfId="0" applyFont="1" applyFill="1" applyBorder="1"/>
    <xf numFmtId="0" fontId="0" fillId="4" borderId="8" xfId="0" applyFill="1" applyBorder="1"/>
    <xf numFmtId="0" fontId="0" fillId="4" borderId="9" xfId="0" applyFont="1" applyFill="1" applyBorder="1" applyAlignment="1"/>
    <xf numFmtId="0" fontId="0" fillId="4" borderId="10" xfId="0" applyFill="1" applyBorder="1"/>
    <xf numFmtId="168" fontId="0" fillId="3" borderId="1" xfId="0" applyNumberFormat="1" applyFont="1" applyFill="1" applyBorder="1" applyAlignment="1">
      <alignment horizontal="center" vertical="center" wrapText="1"/>
    </xf>
    <xf numFmtId="166" fontId="8" fillId="0" borderId="1" xfId="1" applyNumberFormat="1" applyFont="1" applyFill="1" applyBorder="1"/>
    <xf numFmtId="168" fontId="0" fillId="0" borderId="1" xfId="0" applyNumberFormat="1" applyFill="1" applyBorder="1" applyAlignment="1">
      <alignment horizontal="center"/>
    </xf>
    <xf numFmtId="0" fontId="0" fillId="0" borderId="1" xfId="0" applyBorder="1" applyAlignment="1">
      <alignment horizontal="right"/>
    </xf>
    <xf numFmtId="168" fontId="0" fillId="2" borderId="1" xfId="0" applyNumberFormat="1" applyFill="1" applyBorder="1" applyAlignment="1">
      <alignment horizontal="center"/>
    </xf>
    <xf numFmtId="1" fontId="0" fillId="2" borderId="1" xfId="0" applyNumberFormat="1" applyFill="1" applyBorder="1"/>
    <xf numFmtId="1" fontId="0" fillId="0" borderId="1" xfId="0" applyNumberFormat="1" applyBorder="1"/>
    <xf numFmtId="168" fontId="0" fillId="0" borderId="0" xfId="0" applyNumberFormat="1" applyFill="1" applyBorder="1" applyAlignment="1">
      <alignment horizontal="center"/>
    </xf>
    <xf numFmtId="1" fontId="0" fillId="0" borderId="0" xfId="0" applyNumberFormat="1" applyBorder="1"/>
    <xf numFmtId="168" fontId="0" fillId="4" borderId="1" xfId="0" applyNumberFormat="1" applyFill="1" applyBorder="1" applyAlignment="1">
      <alignment horizontal="center"/>
    </xf>
    <xf numFmtId="1" fontId="0" fillId="4" borderId="1" xfId="0" applyNumberFormat="1" applyFill="1" applyBorder="1"/>
    <xf numFmtId="166" fontId="8" fillId="3" borderId="1" xfId="1" applyNumberFormat="1" applyFont="1" applyFill="1" applyBorder="1"/>
    <xf numFmtId="166" fontId="8" fillId="2" borderId="1" xfId="1" applyNumberFormat="1" applyFont="1" applyFill="1" applyBorder="1"/>
    <xf numFmtId="1" fontId="0" fillId="3" borderId="1" xfId="0" applyNumberFormat="1" applyFill="1" applyBorder="1"/>
    <xf numFmtId="169" fontId="0" fillId="0" borderId="0" xfId="0" applyNumberFormat="1"/>
    <xf numFmtId="0" fontId="5" fillId="0" borderId="5" xfId="0" applyFont="1" applyBorder="1"/>
    <xf numFmtId="0" fontId="9" fillId="0" borderId="0" xfId="0" applyFont="1"/>
    <xf numFmtId="0" fontId="2" fillId="8" borderId="1" xfId="0" applyFont="1" applyFill="1" applyBorder="1" applyAlignment="1">
      <alignment horizontal="center"/>
    </xf>
    <xf numFmtId="0" fontId="2" fillId="5" borderId="1" xfId="0" applyFont="1" applyFill="1" applyBorder="1" applyAlignment="1">
      <alignment horizontal="center"/>
    </xf>
    <xf numFmtId="0" fontId="2" fillId="9" borderId="2" xfId="0" applyFont="1" applyFill="1" applyBorder="1" applyAlignment="1">
      <alignment horizontal="right"/>
    </xf>
    <xf numFmtId="2" fontId="2" fillId="9" borderId="3" xfId="0" applyNumberFormat="1" applyFont="1" applyFill="1" applyBorder="1"/>
    <xf numFmtId="0" fontId="2" fillId="9" borderId="4" xfId="0" applyFont="1" applyFill="1" applyBorder="1"/>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5" borderId="12" xfId="0" applyFont="1" applyFill="1" applyBorder="1" applyAlignment="1">
      <alignment horizontal="center"/>
    </xf>
    <xf numFmtId="0" fontId="0" fillId="0" borderId="20" xfId="0" applyBorder="1"/>
    <xf numFmtId="0" fontId="0" fillId="0" borderId="21" xfId="0" applyBorder="1"/>
    <xf numFmtId="3" fontId="0" fillId="0" borderId="10" xfId="0" applyNumberFormat="1" applyFill="1" applyBorder="1" applyAlignment="1">
      <alignment horizontal="center"/>
    </xf>
    <xf numFmtId="0" fontId="0" fillId="0" borderId="0" xfId="0" applyBorder="1"/>
    <xf numFmtId="0" fontId="0" fillId="0" borderId="22" xfId="0" applyBorder="1"/>
    <xf numFmtId="0" fontId="2" fillId="8" borderId="9" xfId="0" applyFont="1" applyFill="1" applyBorder="1" applyAlignment="1">
      <alignment horizontal="center"/>
    </xf>
    <xf numFmtId="0" fontId="2" fillId="2" borderId="9" xfId="0" applyFont="1" applyFill="1" applyBorder="1" applyAlignment="1">
      <alignment horizontal="center"/>
    </xf>
    <xf numFmtId="1" fontId="0" fillId="2" borderId="10" xfId="0" applyNumberFormat="1" applyFill="1" applyBorder="1"/>
    <xf numFmtId="0" fontId="2" fillId="3" borderId="9" xfId="0" applyFont="1" applyFill="1" applyBorder="1" applyAlignment="1">
      <alignment horizontal="center"/>
    </xf>
    <xf numFmtId="1" fontId="0" fillId="3" borderId="10" xfId="0" applyNumberFormat="1" applyFill="1" applyBorder="1"/>
    <xf numFmtId="0" fontId="2" fillId="0" borderId="9" xfId="0" applyFont="1" applyBorder="1" applyAlignment="1">
      <alignment horizontal="center"/>
    </xf>
    <xf numFmtId="1" fontId="0" fillId="0" borderId="10" xfId="0" applyNumberFormat="1" applyBorder="1"/>
    <xf numFmtId="0" fontId="2" fillId="4" borderId="9" xfId="0" applyFont="1" applyFill="1" applyBorder="1" applyAlignment="1">
      <alignment horizontal="center"/>
    </xf>
    <xf numFmtId="1" fontId="0" fillId="4" borderId="10" xfId="0" applyNumberFormat="1" applyFill="1" applyBorder="1"/>
    <xf numFmtId="0" fontId="2" fillId="0" borderId="21" xfId="0" applyFont="1" applyBorder="1" applyAlignment="1">
      <alignment horizontal="center"/>
    </xf>
    <xf numFmtId="1" fontId="0" fillId="0" borderId="22" xfId="0" applyNumberFormat="1" applyBorder="1"/>
    <xf numFmtId="0" fontId="2" fillId="5" borderId="9" xfId="0" applyFont="1" applyFill="1" applyBorder="1" applyAlignment="1">
      <alignment horizontal="center"/>
    </xf>
    <xf numFmtId="166" fontId="8" fillId="2" borderId="10" xfId="1" applyNumberFormat="1" applyFont="1" applyFill="1" applyBorder="1"/>
    <xf numFmtId="166" fontId="8" fillId="3" borderId="10" xfId="1" applyNumberFormat="1" applyFont="1" applyFill="1" applyBorder="1"/>
    <xf numFmtId="166" fontId="8" fillId="0" borderId="10" xfId="1" applyNumberFormat="1" applyFont="1" applyFill="1" applyBorder="1"/>
    <xf numFmtId="0" fontId="2" fillId="4" borderId="11" xfId="0" applyFont="1" applyFill="1" applyBorder="1" applyAlignment="1">
      <alignment horizontal="center"/>
    </xf>
    <xf numFmtId="168" fontId="0" fillId="4" borderId="12" xfId="0" applyNumberFormat="1" applyFill="1" applyBorder="1" applyAlignment="1">
      <alignment horizontal="center"/>
    </xf>
    <xf numFmtId="166" fontId="8" fillId="4" borderId="12" xfId="1" applyNumberFormat="1" applyFont="1" applyFill="1" applyBorder="1"/>
    <xf numFmtId="166" fontId="8" fillId="4" borderId="13" xfId="1" applyNumberFormat="1" applyFont="1" applyFill="1" applyBorder="1"/>
    <xf numFmtId="0" fontId="2" fillId="7" borderId="9" xfId="0" applyFont="1" applyFill="1" applyBorder="1" applyAlignment="1">
      <alignment horizontal="center"/>
    </xf>
    <xf numFmtId="168" fontId="0" fillId="7" borderId="1" xfId="0" applyNumberFormat="1" applyFont="1" applyFill="1" applyBorder="1" applyAlignment="1">
      <alignment horizontal="center" vertical="center" wrapText="1"/>
    </xf>
    <xf numFmtId="166" fontId="8" fillId="7" borderId="1" xfId="1" applyNumberFormat="1" applyFont="1" applyFill="1" applyBorder="1"/>
    <xf numFmtId="166" fontId="8" fillId="7" borderId="10" xfId="1" applyNumberFormat="1" applyFont="1" applyFill="1" applyBorder="1"/>
    <xf numFmtId="1" fontId="0" fillId="7" borderId="1" xfId="0" applyNumberFormat="1" applyFill="1" applyBorder="1"/>
    <xf numFmtId="1" fontId="0" fillId="7" borderId="10" xfId="0" applyNumberFormat="1" applyFill="1" applyBorder="1"/>
    <xf numFmtId="0" fontId="0" fillId="0" borderId="0" xfId="0" applyAlignment="1"/>
    <xf numFmtId="169" fontId="0" fillId="0" borderId="25" xfId="0" applyNumberFormat="1" applyBorder="1" applyAlignment="1">
      <alignment vertical="center" wrapText="1"/>
    </xf>
    <xf numFmtId="0" fontId="10" fillId="0" borderId="0" xfId="0" applyFont="1"/>
    <xf numFmtId="0" fontId="2" fillId="6" borderId="33" xfId="0" applyFont="1" applyFill="1" applyBorder="1"/>
    <xf numFmtId="169" fontId="2" fillId="6" borderId="4" xfId="0" applyNumberFormat="1" applyFont="1" applyFill="1" applyBorder="1"/>
    <xf numFmtId="0" fontId="14" fillId="0" borderId="0" xfId="0" applyFont="1"/>
    <xf numFmtId="0" fontId="15" fillId="0" borderId="0" xfId="0" applyFont="1" applyBorder="1"/>
    <xf numFmtId="0" fontId="15" fillId="0" borderId="0" xfId="0" applyFont="1" applyBorder="1" applyAlignment="1">
      <alignment horizontal="center"/>
    </xf>
    <xf numFmtId="0" fontId="15" fillId="0" borderId="0" xfId="0" applyFont="1" applyBorder="1" applyAlignment="1">
      <alignment horizontal="right"/>
    </xf>
    <xf numFmtId="0" fontId="14" fillId="0" borderId="0" xfId="0" applyFont="1" applyAlignment="1">
      <alignment horizontal="right"/>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0" borderId="2" xfId="0" applyFont="1" applyFill="1" applyBorder="1" applyAlignment="1">
      <alignment horizontal="center" vertical="center" wrapText="1"/>
    </xf>
    <xf numFmtId="9" fontId="17" fillId="0" borderId="35" xfId="4" applyFont="1" applyBorder="1" applyAlignment="1">
      <alignment horizontal="center" vertical="center" wrapText="1"/>
    </xf>
    <xf numFmtId="9" fontId="17" fillId="0" borderId="16" xfId="4" applyFont="1" applyBorder="1" applyAlignment="1">
      <alignment horizontal="center" vertical="center" wrapText="1"/>
    </xf>
    <xf numFmtId="173" fontId="19" fillId="0" borderId="0" xfId="4" applyNumberFormat="1" applyFont="1" applyBorder="1" applyAlignment="1">
      <alignment horizontal="center" vertical="center"/>
    </xf>
    <xf numFmtId="0" fontId="14" fillId="0" borderId="38" xfId="0" applyFont="1" applyFill="1" applyBorder="1" applyAlignment="1">
      <alignment horizontal="center"/>
    </xf>
    <xf numFmtId="0" fontId="14" fillId="0" borderId="38" xfId="0" applyFont="1" applyFill="1" applyBorder="1"/>
    <xf numFmtId="0" fontId="18" fillId="0" borderId="38" xfId="0" applyFont="1" applyFill="1" applyBorder="1" applyAlignment="1">
      <alignment horizontal="center"/>
    </xf>
    <xf numFmtId="172" fontId="17" fillId="0" borderId="38" xfId="4" applyNumberFormat="1" applyFont="1" applyFill="1" applyBorder="1" applyAlignment="1">
      <alignment horizontal="right" vertical="center"/>
    </xf>
    <xf numFmtId="174" fontId="17" fillId="0" borderId="0" xfId="4" applyNumberFormat="1" applyFont="1" applyBorder="1" applyAlignment="1">
      <alignment horizontal="center" vertical="center"/>
    </xf>
    <xf numFmtId="0" fontId="14" fillId="0" borderId="0" xfId="0" applyFont="1" applyBorder="1"/>
    <xf numFmtId="172" fontId="14" fillId="0" borderId="0" xfId="0" applyNumberFormat="1" applyFont="1"/>
    <xf numFmtId="175" fontId="18" fillId="0" borderId="0" xfId="5" applyNumberFormat="1" applyFont="1" applyFill="1" applyBorder="1" applyAlignment="1">
      <alignment horizontal="right" readingOrder="1"/>
    </xf>
    <xf numFmtId="176" fontId="18" fillId="0" borderId="0" xfId="5" applyNumberFormat="1" applyFont="1" applyFill="1" applyBorder="1" applyAlignment="1">
      <alignment horizontal="right" readingOrder="1"/>
    </xf>
    <xf numFmtId="0" fontId="14" fillId="0" borderId="0" xfId="0" applyFont="1" applyBorder="1" applyAlignment="1">
      <alignment horizontal="right"/>
    </xf>
    <xf numFmtId="165" fontId="14" fillId="0" borderId="0" xfId="0" applyNumberFormat="1" applyFont="1" applyAlignment="1">
      <alignment horizontal="right"/>
    </xf>
    <xf numFmtId="172" fontId="14" fillId="0" borderId="0" xfId="0" applyNumberFormat="1" applyFont="1" applyAlignment="1">
      <alignment horizontal="right"/>
    </xf>
    <xf numFmtId="0" fontId="0" fillId="0" borderId="0" xfId="0" applyAlignment="1">
      <alignment horizontal="center" vertical="center" wrapText="1"/>
    </xf>
    <xf numFmtId="0" fontId="21" fillId="0" borderId="5" xfId="0" applyFont="1" applyBorder="1"/>
    <xf numFmtId="0" fontId="0" fillId="0" borderId="0" xfId="0" applyAlignment="1">
      <alignment horizontal="center"/>
    </xf>
    <xf numFmtId="169" fontId="0" fillId="0" borderId="0" xfId="0" applyNumberFormat="1" applyBorder="1"/>
    <xf numFmtId="0" fontId="23" fillId="0" borderId="22" xfId="0" applyFont="1" applyBorder="1" applyAlignment="1">
      <alignment horizontal="center"/>
    </xf>
    <xf numFmtId="0" fontId="7" fillId="0" borderId="0" xfId="0" applyFont="1"/>
    <xf numFmtId="169" fontId="2" fillId="11" borderId="4" xfId="0" applyNumberFormat="1" applyFont="1" applyFill="1" applyBorder="1"/>
    <xf numFmtId="0" fontId="0" fillId="0" borderId="21" xfId="0" applyFill="1" applyBorder="1"/>
    <xf numFmtId="0" fontId="24" fillId="0" borderId="22" xfId="0" applyFont="1" applyBorder="1" applyAlignment="1">
      <alignment horizontal="center"/>
    </xf>
    <xf numFmtId="0" fontId="0" fillId="0" borderId="0" xfId="0" applyBorder="1" applyAlignment="1">
      <alignment horizontal="right"/>
    </xf>
    <xf numFmtId="43" fontId="0" fillId="0" borderId="0" xfId="3" applyFont="1" applyBorder="1"/>
    <xf numFmtId="169" fontId="0" fillId="0" borderId="0" xfId="0" applyNumberFormat="1" applyFill="1" applyBorder="1"/>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46" xfId="0" applyFill="1" applyBorder="1" applyAlignment="1"/>
    <xf numFmtId="0" fontId="0" fillId="0" borderId="43" xfId="0" applyFill="1" applyBorder="1" applyAlignment="1">
      <alignment horizontal="center"/>
    </xf>
    <xf numFmtId="169" fontId="14" fillId="0" borderId="1" xfId="0" applyNumberFormat="1" applyFont="1" applyFill="1" applyBorder="1"/>
    <xf numFmtId="0" fontId="0" fillId="0" borderId="34" xfId="0" applyFill="1" applyBorder="1" applyAlignment="1"/>
    <xf numFmtId="0" fontId="2" fillId="9" borderId="2" xfId="0" applyFont="1" applyFill="1" applyBorder="1"/>
    <xf numFmtId="0" fontId="2" fillId="9" borderId="3" xfId="0" applyFont="1" applyFill="1" applyBorder="1"/>
    <xf numFmtId="169" fontId="2" fillId="9" borderId="4" xfId="0" applyNumberFormat="1" applyFont="1" applyFill="1" applyBorder="1"/>
    <xf numFmtId="0" fontId="15" fillId="12" borderId="3" xfId="0" applyFont="1" applyFill="1" applyBorder="1" applyAlignment="1" applyProtection="1">
      <alignment horizontal="center" vertical="center"/>
    </xf>
    <xf numFmtId="0" fontId="17" fillId="12" borderId="3" xfId="0" applyFont="1" applyFill="1" applyBorder="1" applyAlignment="1" applyProtection="1">
      <alignment vertical="center"/>
    </xf>
    <xf numFmtId="171" fontId="19" fillId="12" borderId="3" xfId="4" applyNumberFormat="1" applyFont="1" applyFill="1" applyBorder="1" applyAlignment="1" applyProtection="1">
      <alignment horizontal="right" vertical="center"/>
    </xf>
    <xf numFmtId="171" fontId="17" fillId="12" borderId="3" xfId="4" applyNumberFormat="1" applyFont="1" applyFill="1" applyBorder="1" applyAlignment="1" applyProtection="1">
      <alignment horizontal="right" vertical="center"/>
    </xf>
    <xf numFmtId="169" fontId="2" fillId="12" borderId="4" xfId="0" applyNumberFormat="1" applyFont="1" applyFill="1" applyBorder="1"/>
    <xf numFmtId="171" fontId="19" fillId="0" borderId="40" xfId="4" applyNumberFormat="1" applyFont="1" applyBorder="1" applyAlignment="1">
      <alignment horizontal="right" vertical="center"/>
    </xf>
    <xf numFmtId="0" fontId="15" fillId="0" borderId="41" xfId="0" applyFont="1" applyBorder="1" applyAlignment="1">
      <alignment horizontal="center" vertical="center"/>
    </xf>
    <xf numFmtId="0" fontId="15" fillId="0" borderId="41" xfId="0" applyFont="1" applyBorder="1" applyAlignment="1">
      <alignment horizontal="left" vertical="center"/>
    </xf>
    <xf numFmtId="171" fontId="19" fillId="0" borderId="40" xfId="4" applyNumberFormat="1" applyFont="1" applyFill="1" applyBorder="1" applyAlignment="1">
      <alignment horizontal="right" vertical="center"/>
    </xf>
    <xf numFmtId="0" fontId="15" fillId="0" borderId="41" xfId="0" applyFont="1" applyFill="1" applyBorder="1" applyAlignment="1">
      <alignment horizontal="center" vertical="center"/>
    </xf>
    <xf numFmtId="0" fontId="15" fillId="0" borderId="41" xfId="0" applyFont="1" applyFill="1" applyBorder="1" applyAlignment="1">
      <alignment horizontal="left" vertical="center"/>
    </xf>
    <xf numFmtId="171" fontId="19" fillId="0" borderId="39" xfId="4" applyNumberFormat="1" applyFont="1" applyBorder="1" applyAlignment="1">
      <alignment horizontal="right" vertical="center"/>
    </xf>
    <xf numFmtId="0" fontId="15" fillId="0" borderId="42" xfId="0" applyFont="1" applyBorder="1" applyAlignment="1">
      <alignment horizontal="center" vertical="center"/>
    </xf>
    <xf numFmtId="0" fontId="15" fillId="0" borderId="37" xfId="0" applyFont="1" applyBorder="1" applyAlignment="1">
      <alignment horizontal="center" vertical="center"/>
    </xf>
    <xf numFmtId="0" fontId="15" fillId="0" borderId="37" xfId="0" applyFont="1" applyBorder="1" applyAlignment="1">
      <alignment horizontal="left" vertical="center"/>
    </xf>
    <xf numFmtId="171" fontId="19" fillId="0" borderId="38" xfId="4" applyNumberFormat="1" applyFont="1" applyBorder="1" applyAlignment="1">
      <alignment horizontal="right" vertical="center"/>
    </xf>
    <xf numFmtId="2" fontId="0" fillId="0" borderId="0" xfId="0" applyNumberFormat="1" applyBorder="1"/>
    <xf numFmtId="0" fontId="0" fillId="4" borderId="21" xfId="0" applyFill="1" applyBorder="1"/>
    <xf numFmtId="169" fontId="0" fillId="4" borderId="0" xfId="0" applyNumberFormat="1" applyFill="1" applyBorder="1"/>
    <xf numFmtId="0" fontId="0" fillId="4" borderId="22" xfId="0" applyFill="1" applyBorder="1"/>
    <xf numFmtId="0" fontId="0" fillId="0" borderId="22" xfId="0" applyFill="1" applyBorder="1"/>
    <xf numFmtId="0" fontId="0" fillId="8" borderId="29" xfId="0" applyFill="1" applyBorder="1"/>
    <xf numFmtId="169" fontId="0" fillId="8" borderId="25" xfId="0" applyNumberFormat="1" applyFill="1" applyBorder="1"/>
    <xf numFmtId="0" fontId="0" fillId="8" borderId="30" xfId="0" applyFill="1" applyBorder="1"/>
    <xf numFmtId="0" fontId="0" fillId="0" borderId="0" xfId="0" applyFill="1" applyBorder="1"/>
    <xf numFmtId="0" fontId="25" fillId="0" borderId="0" xfId="0" applyFont="1" applyFill="1" applyBorder="1"/>
    <xf numFmtId="10" fontId="19" fillId="0" borderId="38" xfId="4" applyNumberFormat="1" applyFont="1" applyBorder="1" applyAlignment="1">
      <alignment horizontal="center" vertical="center"/>
    </xf>
    <xf numFmtId="10" fontId="19" fillId="0" borderId="40" xfId="4" applyNumberFormat="1" applyFont="1" applyBorder="1" applyAlignment="1">
      <alignment horizontal="center" vertical="center"/>
    </xf>
    <xf numFmtId="10" fontId="19" fillId="0" borderId="39" xfId="4" applyNumberFormat="1" applyFont="1" applyBorder="1" applyAlignment="1">
      <alignment horizontal="center" vertical="center"/>
    </xf>
    <xf numFmtId="10" fontId="17" fillId="0" borderId="38" xfId="4" applyNumberFormat="1" applyFont="1" applyFill="1" applyBorder="1" applyAlignment="1">
      <alignment horizontal="center" vertical="center"/>
    </xf>
    <xf numFmtId="10" fontId="19" fillId="0" borderId="40" xfId="4" applyNumberFormat="1" applyFont="1" applyFill="1" applyBorder="1" applyAlignment="1">
      <alignment horizontal="center" vertical="center"/>
    </xf>
    <xf numFmtId="0" fontId="17" fillId="0" borderId="4" xfId="0" applyFont="1" applyBorder="1" applyAlignment="1">
      <alignment horizontal="center" vertical="center" wrapText="1"/>
    </xf>
    <xf numFmtId="0" fontId="15" fillId="12" borderId="2" xfId="0" applyFont="1" applyFill="1" applyBorder="1" applyAlignment="1" applyProtection="1">
      <alignment horizontal="center" vertical="center"/>
    </xf>
    <xf numFmtId="10" fontId="17" fillId="12" borderId="4" xfId="0" applyNumberFormat="1" applyFont="1" applyFill="1" applyBorder="1" applyAlignment="1">
      <alignment vertical="center"/>
    </xf>
    <xf numFmtId="0" fontId="14" fillId="12" borderId="2" xfId="0" applyFont="1" applyFill="1" applyBorder="1"/>
    <xf numFmtId="0" fontId="17" fillId="12" borderId="3" xfId="0" applyFont="1" applyFill="1" applyBorder="1" applyAlignment="1">
      <alignment vertical="center"/>
    </xf>
    <xf numFmtId="171" fontId="17" fillId="12" borderId="3" xfId="0" applyNumberFormat="1" applyFont="1" applyFill="1" applyBorder="1" applyAlignment="1">
      <alignment vertical="center"/>
    </xf>
    <xf numFmtId="0" fontId="2" fillId="8" borderId="1" xfId="0" applyFont="1" applyFill="1" applyBorder="1" applyAlignment="1">
      <alignment horizontal="center"/>
    </xf>
    <xf numFmtId="0" fontId="2" fillId="5" borderId="1" xfId="0" applyFont="1" applyFill="1" applyBorder="1" applyAlignment="1">
      <alignment horizontal="center"/>
    </xf>
    <xf numFmtId="0" fontId="15" fillId="0" borderId="41" xfId="0" applyFont="1" applyBorder="1" applyAlignment="1">
      <alignment horizontal="left" vertical="center" wrapText="1"/>
    </xf>
    <xf numFmtId="0" fontId="15" fillId="0" borderId="41" xfId="0" applyFont="1" applyFill="1" applyBorder="1" applyAlignment="1">
      <alignment horizontal="left" vertical="center" wrapText="1"/>
    </xf>
    <xf numFmtId="0" fontId="15" fillId="0" borderId="42" xfId="0" applyFont="1" applyBorder="1" applyAlignment="1">
      <alignment horizontal="left" vertical="center" wrapText="1"/>
    </xf>
    <xf numFmtId="0" fontId="15" fillId="0" borderId="40" xfId="0" applyFont="1" applyBorder="1" applyAlignment="1">
      <alignment horizontal="center" vertical="center"/>
    </xf>
    <xf numFmtId="0" fontId="15" fillId="0" borderId="48" xfId="0" applyFont="1" applyBorder="1" applyAlignment="1">
      <alignment horizontal="center" vertical="center"/>
    </xf>
    <xf numFmtId="171" fontId="19" fillId="0" borderId="41" xfId="4" applyNumberFormat="1" applyFont="1" applyFill="1" applyBorder="1" applyAlignment="1">
      <alignment horizontal="right" vertical="center"/>
    </xf>
    <xf numFmtId="0" fontId="0" fillId="0" borderId="43" xfId="0" applyFill="1" applyBorder="1" applyAlignment="1">
      <alignment horizontal="center" vertical="center"/>
    </xf>
    <xf numFmtId="169" fontId="14" fillId="0" borderId="1" xfId="0" applyNumberFormat="1" applyFont="1" applyFill="1" applyBorder="1" applyAlignment="1">
      <alignment vertical="center"/>
    </xf>
    <xf numFmtId="169" fontId="20" fillId="0" borderId="1" xfId="0" applyNumberFormat="1" applyFont="1" applyFill="1" applyBorder="1" applyAlignment="1">
      <alignment vertical="center"/>
    </xf>
    <xf numFmtId="169" fontId="0" fillId="0" borderId="7" xfId="0" applyNumberFormat="1" applyBorder="1" applyAlignment="1">
      <alignment vertical="center" wrapText="1"/>
    </xf>
    <xf numFmtId="0" fontId="2" fillId="9" borderId="2" xfId="0" applyFont="1" applyFill="1" applyBorder="1" applyAlignment="1">
      <alignment horizontal="left"/>
    </xf>
    <xf numFmtId="0" fontId="0" fillId="0" borderId="0" xfId="0" applyBorder="1" applyAlignment="1">
      <alignment vertical="center" wrapText="1"/>
    </xf>
    <xf numFmtId="169" fontId="0" fillId="0" borderId="25" xfId="0" applyNumberFormat="1" applyBorder="1" applyAlignment="1">
      <alignment horizontal="left" vertical="center" wrapText="1"/>
    </xf>
    <xf numFmtId="0" fontId="0" fillId="0" borderId="43" xfId="0" applyFill="1" applyBorder="1"/>
    <xf numFmtId="0" fontId="0" fillId="0" borderId="43" xfId="0" applyFill="1" applyBorder="1" applyAlignment="1"/>
    <xf numFmtId="0" fontId="0" fillId="0" borderId="44" xfId="0" applyFill="1" applyBorder="1" applyAlignment="1"/>
    <xf numFmtId="0" fontId="0" fillId="0" borderId="45" xfId="0" applyFill="1" applyBorder="1" applyAlignment="1">
      <alignment horizontal="center"/>
    </xf>
    <xf numFmtId="0" fontId="0" fillId="0" borderId="1" xfId="0" applyFill="1" applyBorder="1" applyAlignment="1"/>
    <xf numFmtId="0" fontId="0" fillId="0" borderId="31" xfId="0" applyFill="1" applyBorder="1" applyAlignment="1">
      <alignment horizontal="center"/>
    </xf>
    <xf numFmtId="0" fontId="0" fillId="0" borderId="43" xfId="0" applyFill="1" applyBorder="1" applyAlignment="1">
      <alignment vertical="center"/>
    </xf>
    <xf numFmtId="0" fontId="0" fillId="0" borderId="43" xfId="0" applyFill="1" applyBorder="1" applyAlignment="1">
      <alignment vertical="center" wrapText="1"/>
    </xf>
    <xf numFmtId="0" fontId="2" fillId="9" borderId="3" xfId="0" applyFont="1" applyFill="1" applyBorder="1" applyAlignment="1">
      <alignment horizontal="left"/>
    </xf>
    <xf numFmtId="0" fontId="2" fillId="0" borderId="28" xfId="0" applyFont="1" applyFill="1" applyBorder="1" applyAlignment="1">
      <alignment horizontal="center" vertical="center" wrapText="1"/>
    </xf>
    <xf numFmtId="0" fontId="2" fillId="0" borderId="26" xfId="0" applyFont="1" applyFill="1" applyBorder="1" applyAlignment="1">
      <alignment horizontal="center"/>
    </xf>
    <xf numFmtId="0" fontId="2" fillId="0" borderId="27" xfId="0" applyFont="1" applyFill="1" applyBorder="1" applyAlignment="1">
      <alignment horizontal="center"/>
    </xf>
    <xf numFmtId="0" fontId="3" fillId="0" borderId="27" xfId="0" applyFont="1" applyFill="1" applyBorder="1" applyAlignment="1">
      <alignment horizontal="center"/>
    </xf>
    <xf numFmtId="0" fontId="3" fillId="0" borderId="28" xfId="0" applyFont="1" applyFill="1" applyBorder="1" applyAlignment="1">
      <alignment horizontal="center"/>
    </xf>
    <xf numFmtId="0" fontId="0" fillId="0" borderId="7" xfId="0" applyBorder="1" applyAlignment="1">
      <alignment vertical="center" wrapText="1"/>
    </xf>
    <xf numFmtId="0" fontId="0" fillId="0" borderId="7"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69" fontId="0" fillId="0" borderId="1" xfId="0" applyNumberFormat="1" applyBorder="1" applyAlignment="1">
      <alignment vertical="center" wrapText="1"/>
    </xf>
    <xf numFmtId="169" fontId="0" fillId="0" borderId="7" xfId="0" applyNumberFormat="1" applyBorder="1" applyAlignment="1">
      <alignment horizontal="left" vertical="center" wrapText="1"/>
    </xf>
    <xf numFmtId="177" fontId="0" fillId="0" borderId="1" xfId="0" applyNumberFormat="1" applyBorder="1" applyAlignment="1">
      <alignment horizontal="center" vertical="center" wrapText="1"/>
    </xf>
    <xf numFmtId="169" fontId="0" fillId="0" borderId="1" xfId="0" applyNumberFormat="1" applyBorder="1" applyAlignment="1">
      <alignment horizontal="left" vertical="center" wrapText="1"/>
    </xf>
    <xf numFmtId="169" fontId="0" fillId="0" borderId="7" xfId="0" applyNumberFormat="1" applyFont="1" applyFill="1" applyBorder="1" applyAlignment="1">
      <alignment vertical="center" wrapText="1"/>
    </xf>
    <xf numFmtId="169" fontId="0" fillId="0" borderId="1" xfId="0" applyNumberFormat="1" applyFont="1" applyFill="1" applyBorder="1" applyAlignment="1">
      <alignment vertical="center" wrapText="1"/>
    </xf>
    <xf numFmtId="0" fontId="0" fillId="0" borderId="43" xfId="0" applyBorder="1" applyAlignment="1">
      <alignment vertical="center" wrapText="1"/>
    </xf>
    <xf numFmtId="0" fontId="0" fillId="0" borderId="43" xfId="0" applyBorder="1" applyAlignment="1">
      <alignment horizontal="center" vertical="center" wrapText="1"/>
    </xf>
    <xf numFmtId="169" fontId="0" fillId="0" borderId="43" xfId="0" applyNumberFormat="1" applyBorder="1" applyAlignment="1">
      <alignment vertical="center" wrapText="1"/>
    </xf>
    <xf numFmtId="169" fontId="0" fillId="0" borderId="43" xfId="0" applyNumberFormat="1" applyFont="1" applyFill="1" applyBorder="1" applyAlignment="1">
      <alignment vertical="center" wrapText="1"/>
    </xf>
    <xf numFmtId="169" fontId="0" fillId="0" borderId="43" xfId="0" applyNumberFormat="1" applyBorder="1" applyAlignment="1">
      <alignment horizontal="left" vertical="center" wrapText="1"/>
    </xf>
    <xf numFmtId="2" fontId="0" fillId="0" borderId="0" xfId="0" applyNumberFormat="1"/>
    <xf numFmtId="3" fontId="0" fillId="8" borderId="1" xfId="0" applyNumberFormat="1" applyFill="1" applyBorder="1"/>
    <xf numFmtId="3" fontId="0" fillId="8" borderId="10" xfId="0" applyNumberFormat="1" applyFill="1" applyBorder="1"/>
    <xf numFmtId="166" fontId="8" fillId="14" borderId="12" xfId="1" applyNumberFormat="1" applyFont="1" applyFill="1" applyBorder="1"/>
    <xf numFmtId="166" fontId="8" fillId="14" borderId="13" xfId="1" applyNumberFormat="1" applyFont="1" applyFill="1" applyBorder="1"/>
    <xf numFmtId="0" fontId="2" fillId="15" borderId="23" xfId="0" applyFont="1" applyFill="1" applyBorder="1" applyAlignment="1">
      <alignment horizontal="center"/>
    </xf>
    <xf numFmtId="0" fontId="2" fillId="15" borderId="25" xfId="0" applyFont="1" applyFill="1" applyBorder="1" applyAlignment="1">
      <alignment horizontal="center"/>
    </xf>
    <xf numFmtId="0" fontId="2" fillId="4" borderId="47" xfId="0" applyFont="1" applyFill="1" applyBorder="1" applyAlignment="1">
      <alignment horizontal="center"/>
    </xf>
    <xf numFmtId="0" fontId="2" fillId="5" borderId="31" xfId="0" applyFont="1" applyFill="1" applyBorder="1" applyAlignment="1">
      <alignment horizontal="center"/>
    </xf>
    <xf numFmtId="10" fontId="26" fillId="12" borderId="51" xfId="4" applyNumberFormat="1" applyFont="1" applyFill="1" applyBorder="1" applyAlignment="1">
      <alignment horizontal="right" vertical="center"/>
    </xf>
    <xf numFmtId="171" fontId="26" fillId="12" borderId="50" xfId="4" applyNumberFormat="1" applyFont="1" applyFill="1" applyBorder="1" applyAlignment="1" applyProtection="1">
      <alignment horizontal="right" vertical="center"/>
    </xf>
    <xf numFmtId="0" fontId="2" fillId="9" borderId="4" xfId="0" applyFont="1" applyFill="1" applyBorder="1" applyAlignment="1">
      <alignment horizontal="center"/>
    </xf>
    <xf numFmtId="2" fontId="2" fillId="9" borderId="3" xfId="0" applyNumberFormat="1" applyFont="1" applyFill="1" applyBorder="1" applyAlignment="1">
      <alignment horizontal="right"/>
    </xf>
    <xf numFmtId="0" fontId="2" fillId="2" borderId="53" xfId="0" applyFont="1" applyFill="1" applyBorder="1" applyAlignment="1">
      <alignment horizontal="center"/>
    </xf>
    <xf numFmtId="168" fontId="0" fillId="2" borderId="54" xfId="0" applyNumberFormat="1" applyFill="1" applyBorder="1" applyAlignment="1">
      <alignment horizontal="center"/>
    </xf>
    <xf numFmtId="0" fontId="2" fillId="7" borderId="53" xfId="0" applyFont="1" applyFill="1" applyBorder="1" applyAlignment="1">
      <alignment horizontal="center"/>
    </xf>
    <xf numFmtId="168" fontId="0" fillId="7" borderId="54" xfId="0" applyNumberFormat="1" applyFont="1" applyFill="1" applyBorder="1" applyAlignment="1">
      <alignment horizontal="center" vertical="center" wrapText="1"/>
    </xf>
    <xf numFmtId="0" fontId="2" fillId="0" borderId="53" xfId="0" applyFont="1" applyBorder="1" applyAlignment="1">
      <alignment horizontal="center"/>
    </xf>
    <xf numFmtId="168" fontId="0" fillId="0" borderId="54" xfId="0" applyNumberFormat="1" applyFill="1" applyBorder="1" applyAlignment="1">
      <alignment horizontal="center"/>
    </xf>
    <xf numFmtId="0" fontId="2" fillId="4" borderId="53" xfId="0" applyFont="1" applyFill="1" applyBorder="1" applyAlignment="1">
      <alignment horizontal="center"/>
    </xf>
    <xf numFmtId="168" fontId="0" fillId="4" borderId="54" xfId="0" applyNumberFormat="1" applyFill="1" applyBorder="1" applyAlignment="1">
      <alignment horizontal="center"/>
    </xf>
    <xf numFmtId="0" fontId="2" fillId="4" borderId="49" xfId="0" applyFont="1" applyFill="1" applyBorder="1" applyAlignment="1">
      <alignment horizontal="center"/>
    </xf>
    <xf numFmtId="168" fontId="0" fillId="4" borderId="50" xfId="0" applyNumberFormat="1" applyFill="1" applyBorder="1" applyAlignment="1">
      <alignment horizontal="center"/>
    </xf>
    <xf numFmtId="0" fontId="0" fillId="0" borderId="34" xfId="0" applyBorder="1" applyAlignment="1">
      <alignment horizontal="right"/>
    </xf>
    <xf numFmtId="3" fontId="0" fillId="0" borderId="54" xfId="0" applyNumberFormat="1" applyFill="1" applyBorder="1" applyAlignment="1">
      <alignment horizontal="center"/>
    </xf>
    <xf numFmtId="3" fontId="0" fillId="0" borderId="55" xfId="0" applyNumberFormat="1" applyFill="1" applyBorder="1" applyAlignment="1">
      <alignment horizontal="center"/>
    </xf>
    <xf numFmtId="1" fontId="0" fillId="2" borderId="54" xfId="0" applyNumberFormat="1" applyFill="1" applyBorder="1" applyAlignment="1">
      <alignment horizontal="center"/>
    </xf>
    <xf numFmtId="1" fontId="0" fillId="2" borderId="55" xfId="0" applyNumberFormat="1" applyFill="1" applyBorder="1" applyAlignment="1">
      <alignment horizontal="center"/>
    </xf>
    <xf numFmtId="1" fontId="0" fillId="7" borderId="54" xfId="0" applyNumberFormat="1" applyFill="1" applyBorder="1" applyAlignment="1">
      <alignment horizontal="center"/>
    </xf>
    <xf numFmtId="1" fontId="0" fillId="7" borderId="55" xfId="0" applyNumberFormat="1" applyFill="1" applyBorder="1" applyAlignment="1">
      <alignment horizontal="center"/>
    </xf>
    <xf numFmtId="1" fontId="0" fillId="0" borderId="54" xfId="0" applyNumberFormat="1" applyBorder="1" applyAlignment="1">
      <alignment horizontal="center"/>
    </xf>
    <xf numFmtId="1" fontId="0" fillId="0" borderId="55" xfId="0" applyNumberFormat="1" applyBorder="1" applyAlignment="1">
      <alignment horizontal="center"/>
    </xf>
    <xf numFmtId="1" fontId="0" fillId="4" borderId="54" xfId="0" applyNumberFormat="1" applyFill="1" applyBorder="1" applyAlignment="1">
      <alignment horizontal="center"/>
    </xf>
    <xf numFmtId="1" fontId="0" fillId="4" borderId="55" xfId="0" applyNumberFormat="1" applyFill="1" applyBorder="1" applyAlignment="1">
      <alignment horizontal="center"/>
    </xf>
    <xf numFmtId="178" fontId="8" fillId="2" borderId="54" xfId="1" applyNumberFormat="1" applyFont="1" applyFill="1" applyBorder="1" applyAlignment="1">
      <alignment horizontal="center"/>
    </xf>
    <xf numFmtId="178" fontId="8" fillId="2" borderId="55" xfId="1" applyNumberFormat="1" applyFont="1" applyFill="1" applyBorder="1" applyAlignment="1">
      <alignment horizontal="center"/>
    </xf>
    <xf numFmtId="178" fontId="8" fillId="7" borderId="54" xfId="1" applyNumberFormat="1" applyFont="1" applyFill="1" applyBorder="1" applyAlignment="1">
      <alignment horizontal="center"/>
    </xf>
    <xf numFmtId="178" fontId="8" fillId="7" borderId="55" xfId="1" applyNumberFormat="1" applyFont="1" applyFill="1" applyBorder="1" applyAlignment="1">
      <alignment horizontal="center"/>
    </xf>
    <xf numFmtId="178" fontId="8" fillId="0" borderId="54" xfId="1" applyNumberFormat="1" applyFont="1" applyFill="1" applyBorder="1" applyAlignment="1">
      <alignment horizontal="center"/>
    </xf>
    <xf numFmtId="178" fontId="8" fillId="0" borderId="55" xfId="1" applyNumberFormat="1" applyFont="1" applyFill="1" applyBorder="1" applyAlignment="1">
      <alignment horizontal="center"/>
    </xf>
    <xf numFmtId="178" fontId="8" fillId="4" borderId="50" xfId="1" applyNumberFormat="1" applyFont="1" applyFill="1" applyBorder="1" applyAlignment="1">
      <alignment horizontal="center"/>
    </xf>
    <xf numFmtId="178" fontId="8" fillId="4" borderId="51" xfId="1" applyNumberFormat="1" applyFont="1" applyFill="1" applyBorder="1" applyAlignment="1">
      <alignment horizontal="center"/>
    </xf>
    <xf numFmtId="0" fontId="2" fillId="8" borderId="56" xfId="0" applyFont="1" applyFill="1" applyBorder="1" applyAlignment="1">
      <alignment horizontal="center"/>
    </xf>
    <xf numFmtId="0" fontId="2" fillId="2" borderId="57" xfId="0" applyFont="1" applyFill="1" applyBorder="1" applyAlignment="1">
      <alignment horizontal="center"/>
    </xf>
    <xf numFmtId="3" fontId="0" fillId="2" borderId="50" xfId="0" applyNumberFormat="1" applyFill="1" applyBorder="1" applyAlignment="1">
      <alignment horizontal="center"/>
    </xf>
    <xf numFmtId="3" fontId="0" fillId="2" borderId="51" xfId="0" applyNumberFormat="1" applyFill="1" applyBorder="1" applyAlignment="1">
      <alignment horizontal="center"/>
    </xf>
    <xf numFmtId="3" fontId="0" fillId="15" borderId="23" xfId="0" applyNumberFormat="1" applyFill="1" applyBorder="1" applyAlignment="1">
      <alignment horizontal="center"/>
    </xf>
    <xf numFmtId="3" fontId="0" fillId="15" borderId="25" xfId="0" applyNumberFormat="1" applyFill="1" applyBorder="1" applyAlignment="1">
      <alignment horizontal="center"/>
    </xf>
    <xf numFmtId="178" fontId="8" fillId="2" borderId="50" xfId="1" applyNumberFormat="1" applyFont="1" applyFill="1" applyBorder="1" applyAlignment="1">
      <alignment horizontal="center"/>
    </xf>
    <xf numFmtId="178" fontId="8" fillId="2" borderId="51" xfId="1" applyNumberFormat="1" applyFont="1" applyFill="1" applyBorder="1" applyAlignment="1">
      <alignment horizontal="center"/>
    </xf>
    <xf numFmtId="0" fontId="2" fillId="3" borderId="53" xfId="0" applyFont="1" applyFill="1" applyBorder="1" applyAlignment="1">
      <alignment horizontal="center"/>
    </xf>
    <xf numFmtId="168" fontId="0" fillId="3" borderId="54" xfId="0" applyNumberFormat="1" applyFont="1" applyFill="1" applyBorder="1" applyAlignment="1">
      <alignment horizontal="center" vertical="center" wrapText="1"/>
    </xf>
    <xf numFmtId="1" fontId="0" fillId="3" borderId="54" xfId="0" applyNumberFormat="1" applyFill="1" applyBorder="1" applyAlignment="1">
      <alignment horizontal="center"/>
    </xf>
    <xf numFmtId="1" fontId="0" fillId="3" borderId="55" xfId="0" applyNumberFormat="1" applyFill="1" applyBorder="1" applyAlignment="1">
      <alignment horizontal="center"/>
    </xf>
    <xf numFmtId="178" fontId="8" fillId="3" borderId="54" xfId="1" applyNumberFormat="1" applyFont="1" applyFill="1" applyBorder="1" applyAlignment="1">
      <alignment horizontal="center"/>
    </xf>
    <xf numFmtId="178" fontId="8" fillId="3" borderId="55" xfId="1" applyNumberFormat="1" applyFont="1" applyFill="1" applyBorder="1" applyAlignment="1">
      <alignment horizontal="center"/>
    </xf>
    <xf numFmtId="0" fontId="0" fillId="0" borderId="34" xfId="0" applyBorder="1"/>
    <xf numFmtId="0" fontId="0" fillId="0" borderId="56" xfId="0" applyBorder="1"/>
    <xf numFmtId="4" fontId="8" fillId="0" borderId="54" xfId="1" applyNumberFormat="1" applyFont="1" applyFill="1" applyBorder="1" applyAlignment="1">
      <alignment horizontal="center"/>
    </xf>
    <xf numFmtId="4" fontId="8" fillId="0" borderId="55" xfId="1" applyNumberFormat="1" applyFont="1" applyFill="1" applyBorder="1" applyAlignment="1">
      <alignment horizontal="center"/>
    </xf>
    <xf numFmtId="4" fontId="0" fillId="0" borderId="58" xfId="0" applyNumberFormat="1" applyFill="1" applyBorder="1" applyAlignment="1">
      <alignment horizontal="center"/>
    </xf>
    <xf numFmtId="4" fontId="0" fillId="0" borderId="59" xfId="0" applyNumberFormat="1" applyFill="1" applyBorder="1" applyAlignment="1">
      <alignment horizontal="center"/>
    </xf>
    <xf numFmtId="4" fontId="11" fillId="9" borderId="58" xfId="1" applyNumberFormat="1" applyFont="1" applyFill="1" applyBorder="1" applyAlignment="1">
      <alignment horizontal="center"/>
    </xf>
    <xf numFmtId="4" fontId="2" fillId="9" borderId="58" xfId="0" applyNumberFormat="1" applyFont="1" applyFill="1" applyBorder="1" applyAlignment="1">
      <alignment horizontal="center"/>
    </xf>
    <xf numFmtId="0" fontId="0" fillId="16" borderId="60" xfId="0" applyFill="1" applyBorder="1"/>
    <xf numFmtId="4" fontId="8" fillId="16" borderId="3" xfId="1" applyNumberFormat="1" applyFont="1" applyFill="1" applyBorder="1" applyAlignment="1">
      <alignment horizontal="center"/>
    </xf>
    <xf numFmtId="4" fontId="8" fillId="16" borderId="4" xfId="1" applyNumberFormat="1" applyFont="1" applyFill="1" applyBorder="1" applyAlignment="1">
      <alignment horizontal="center"/>
    </xf>
    <xf numFmtId="9" fontId="0" fillId="0" borderId="0" xfId="0" applyNumberFormat="1" applyAlignment="1">
      <alignment horizontal="left"/>
    </xf>
    <xf numFmtId="0" fontId="2" fillId="0" borderId="52" xfId="0" applyFont="1" applyFill="1" applyBorder="1" applyAlignment="1">
      <alignment horizontal="center"/>
    </xf>
    <xf numFmtId="0" fontId="27" fillId="17" borderId="37" xfId="0" applyFont="1" applyFill="1" applyBorder="1" applyAlignment="1">
      <alignment horizontal="center" vertical="center" wrapText="1"/>
    </xf>
    <xf numFmtId="4" fontId="8" fillId="0" borderId="40" xfId="1" applyNumberFormat="1" applyFont="1" applyFill="1" applyBorder="1" applyAlignment="1">
      <alignment horizontal="center"/>
    </xf>
    <xf numFmtId="4" fontId="0" fillId="0" borderId="41" xfId="0" applyNumberFormat="1" applyFill="1" applyBorder="1" applyAlignment="1">
      <alignment horizontal="center"/>
    </xf>
    <xf numFmtId="4" fontId="11" fillId="18" borderId="35" xfId="1" applyNumberFormat="1" applyFont="1" applyFill="1" applyBorder="1" applyAlignment="1">
      <alignment horizontal="center"/>
    </xf>
    <xf numFmtId="0" fontId="2" fillId="0" borderId="33" xfId="0" applyFont="1" applyFill="1" applyBorder="1"/>
    <xf numFmtId="0" fontId="2" fillId="0" borderId="33" xfId="0" applyFont="1" applyFill="1" applyBorder="1" applyAlignment="1">
      <alignment horizontal="center"/>
    </xf>
    <xf numFmtId="0" fontId="2" fillId="6" borderId="33" xfId="0" applyFont="1" applyFill="1" applyBorder="1" applyAlignment="1">
      <alignment horizontal="center"/>
    </xf>
    <xf numFmtId="0" fontId="2" fillId="6" borderId="52" xfId="0" applyFont="1" applyFill="1" applyBorder="1" applyAlignment="1">
      <alignment horizontal="center"/>
    </xf>
    <xf numFmtId="0" fontId="2" fillId="3" borderId="33" xfId="0" applyFont="1" applyFill="1" applyBorder="1"/>
    <xf numFmtId="0" fontId="2" fillId="3" borderId="33" xfId="0" applyFont="1" applyFill="1" applyBorder="1" applyAlignment="1">
      <alignment horizontal="center"/>
    </xf>
    <xf numFmtId="0" fontId="2" fillId="3" borderId="52" xfId="0" applyFont="1" applyFill="1" applyBorder="1" applyAlignment="1">
      <alignment horizontal="center"/>
    </xf>
    <xf numFmtId="0" fontId="2" fillId="4" borderId="33" xfId="0" applyFont="1" applyFill="1" applyBorder="1"/>
    <xf numFmtId="0" fontId="2" fillId="4" borderId="33" xfId="0" applyFont="1" applyFill="1" applyBorder="1" applyAlignment="1">
      <alignment horizontal="center"/>
    </xf>
    <xf numFmtId="0" fontId="2" fillId="4" borderId="52" xfId="0" applyFont="1" applyFill="1" applyBorder="1" applyAlignment="1">
      <alignment horizontal="center"/>
    </xf>
    <xf numFmtId="179" fontId="0" fillId="0" borderId="0" xfId="0" applyNumberFormat="1" applyBorder="1" applyAlignment="1">
      <alignment horizontal="center" vertical="center" wrapText="1"/>
    </xf>
    <xf numFmtId="0" fontId="0" fillId="0" borderId="54" xfId="0" applyBorder="1" applyAlignment="1">
      <alignment horizontal="left" vertical="center" wrapText="1"/>
    </xf>
    <xf numFmtId="169" fontId="0" fillId="0" borderId="54" xfId="0" applyNumberFormat="1" applyBorder="1" applyAlignment="1">
      <alignment horizontal="center" vertical="center" wrapText="1"/>
    </xf>
    <xf numFmtId="0" fontId="0" fillId="0" borderId="53" xfId="0" applyBorder="1" applyAlignment="1">
      <alignment horizontal="left" vertical="center" wrapText="1"/>
    </xf>
    <xf numFmtId="0" fontId="0" fillId="7" borderId="53" xfId="0" applyFill="1" applyBorder="1" applyAlignment="1">
      <alignment horizontal="left" vertical="center" wrapText="1"/>
    </xf>
    <xf numFmtId="0" fontId="0" fillId="7" borderId="54" xfId="0" applyFill="1" applyBorder="1" applyAlignment="1">
      <alignment horizontal="left" vertical="center" wrapText="1"/>
    </xf>
    <xf numFmtId="169" fontId="0" fillId="7" borderId="54" xfId="0" applyNumberFormat="1" applyFill="1" applyBorder="1" applyAlignment="1">
      <alignment horizontal="center" vertical="center" wrapText="1"/>
    </xf>
    <xf numFmtId="0" fontId="0" fillId="4" borderId="49" xfId="0" applyFill="1" applyBorder="1" applyAlignment="1">
      <alignment horizontal="left" vertical="center" wrapText="1"/>
    </xf>
    <xf numFmtId="0" fontId="0" fillId="4" borderId="50" xfId="0" applyFill="1" applyBorder="1" applyAlignment="1">
      <alignment horizontal="left" vertical="center" wrapText="1"/>
    </xf>
    <xf numFmtId="169" fontId="0" fillId="4" borderId="50" xfId="0" applyNumberFormat="1" applyFill="1" applyBorder="1" applyAlignment="1">
      <alignment horizontal="center" vertical="center" wrapText="1"/>
    </xf>
    <xf numFmtId="169" fontId="2" fillId="7" borderId="55" xfId="0" applyNumberFormat="1" applyFont="1" applyFill="1" applyBorder="1" applyAlignment="1">
      <alignment horizontal="center" vertical="center" wrapText="1"/>
    </xf>
    <xf numFmtId="169" fontId="2" fillId="0" borderId="55" xfId="0" applyNumberFormat="1" applyFont="1" applyBorder="1" applyAlignment="1">
      <alignment horizontal="center" vertical="center" wrapText="1"/>
    </xf>
    <xf numFmtId="169" fontId="2" fillId="4" borderId="51" xfId="0" applyNumberFormat="1" applyFont="1" applyFill="1" applyBorder="1" applyAlignment="1">
      <alignment horizontal="center" vertical="center" wrapText="1"/>
    </xf>
    <xf numFmtId="0" fontId="0" fillId="2" borderId="62" xfId="0" applyFill="1" applyBorder="1" applyAlignment="1">
      <alignment horizontal="left" vertical="center" wrapText="1"/>
    </xf>
    <xf numFmtId="0" fontId="0" fillId="2" borderId="5" xfId="0" applyFill="1" applyBorder="1" applyAlignment="1">
      <alignment horizontal="left" vertical="center" wrapText="1"/>
    </xf>
    <xf numFmtId="169" fontId="0" fillId="2" borderId="5" xfId="0" applyNumberFormat="1" applyFill="1" applyBorder="1" applyAlignment="1">
      <alignment horizontal="center" vertical="center" wrapText="1"/>
    </xf>
    <xf numFmtId="169" fontId="2" fillId="2" borderId="63" xfId="0" applyNumberFormat="1"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3" fillId="4" borderId="14" xfId="0" applyFont="1" applyFill="1" applyBorder="1" applyAlignment="1">
      <alignment horizontal="center"/>
    </xf>
    <xf numFmtId="0" fontId="3" fillId="4" borderId="15" xfId="0" applyFont="1"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4" borderId="7" xfId="0" applyFont="1" applyFill="1" applyBorder="1" applyAlignment="1">
      <alignment horizontal="center"/>
    </xf>
    <xf numFmtId="167" fontId="0" fillId="0" borderId="1" xfId="0" applyNumberFormat="1" applyFont="1" applyFill="1" applyBorder="1" applyAlignment="1">
      <alignment horizontal="center"/>
    </xf>
    <xf numFmtId="168" fontId="0" fillId="0" borderId="1" xfId="0" applyNumberFormat="1" applyFont="1" applyFill="1" applyBorder="1" applyAlignment="1">
      <alignment horizontal="center"/>
    </xf>
    <xf numFmtId="168" fontId="0" fillId="0" borderId="12" xfId="0" applyNumberFormat="1" applyFont="1" applyFill="1" applyBorder="1" applyAlignment="1">
      <alignment horizontal="center"/>
    </xf>
    <xf numFmtId="49" fontId="2" fillId="7" borderId="14" xfId="0" applyNumberFormat="1" applyFont="1" applyFill="1" applyBorder="1" applyAlignment="1">
      <alignment horizontal="center" vertical="center" wrapText="1"/>
    </xf>
    <xf numFmtId="49" fontId="2" fillId="7" borderId="18" xfId="0" applyNumberFormat="1" applyFont="1" applyFill="1" applyBorder="1" applyAlignment="1">
      <alignment horizontal="center" vertical="center" wrapText="1"/>
    </xf>
    <xf numFmtId="49" fontId="2" fillId="7" borderId="19" xfId="0" applyNumberFormat="1" applyFont="1" applyFill="1" applyBorder="1" applyAlignment="1">
      <alignment horizontal="center" vertical="center" wrapText="1"/>
    </xf>
    <xf numFmtId="0" fontId="2" fillId="8" borderId="1" xfId="0" applyFont="1" applyFill="1" applyBorder="1" applyAlignment="1">
      <alignment horizontal="center"/>
    </xf>
    <xf numFmtId="0" fontId="2" fillId="8" borderId="10" xfId="0" applyFont="1" applyFill="1" applyBorder="1" applyAlignment="1">
      <alignment horizontal="center"/>
    </xf>
    <xf numFmtId="0" fontId="2" fillId="5" borderId="1" xfId="0" applyFont="1" applyFill="1" applyBorder="1" applyAlignment="1">
      <alignment horizontal="center"/>
    </xf>
    <xf numFmtId="0" fontId="2" fillId="5" borderId="10" xfId="0" applyFont="1" applyFill="1" applyBorder="1" applyAlignment="1">
      <alignment horizontal="center"/>
    </xf>
    <xf numFmtId="49" fontId="2" fillId="2" borderId="14"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0" fontId="2" fillId="8" borderId="54" xfId="0" applyFont="1" applyFill="1" applyBorder="1" applyAlignment="1">
      <alignment horizontal="center"/>
    </xf>
    <xf numFmtId="0" fontId="2" fillId="8" borderId="55" xfId="0" applyFont="1" applyFill="1" applyBorder="1" applyAlignment="1">
      <alignment horizontal="center"/>
    </xf>
    <xf numFmtId="0" fontId="2" fillId="5" borderId="46" xfId="0" applyFont="1" applyFill="1" applyBorder="1" applyAlignment="1">
      <alignment horizontal="center"/>
    </xf>
    <xf numFmtId="0" fontId="2" fillId="5" borderId="33" xfId="0" applyFont="1" applyFill="1" applyBorder="1" applyAlignment="1">
      <alignment horizontal="center"/>
    </xf>
    <xf numFmtId="0" fontId="2" fillId="5" borderId="52" xfId="0" applyFont="1" applyFill="1" applyBorder="1" applyAlignment="1">
      <alignment horizontal="center"/>
    </xf>
    <xf numFmtId="0" fontId="2" fillId="8" borderId="20" xfId="0" applyFont="1" applyFill="1" applyBorder="1" applyAlignment="1">
      <alignment horizontal="center"/>
    </xf>
    <xf numFmtId="0" fontId="2" fillId="8" borderId="23" xfId="0" applyFont="1" applyFill="1" applyBorder="1" applyAlignment="1">
      <alignment horizontal="center"/>
    </xf>
    <xf numFmtId="0" fontId="2" fillId="8" borderId="24" xfId="0" applyFont="1" applyFill="1" applyBorder="1" applyAlignment="1">
      <alignment horizontal="center"/>
    </xf>
    <xf numFmtId="0" fontId="0" fillId="0" borderId="46" xfId="0" applyFill="1" applyBorder="1" applyAlignment="1">
      <alignment horizontal="left" wrapText="1"/>
    </xf>
    <xf numFmtId="0" fontId="0" fillId="0" borderId="47" xfId="0" applyFill="1" applyBorder="1" applyAlignment="1">
      <alignment horizontal="left" wrapText="1"/>
    </xf>
    <xf numFmtId="0" fontId="2" fillId="12" borderId="2" xfId="0" applyFont="1" applyFill="1" applyBorder="1" applyAlignment="1">
      <alignment horizontal="center"/>
    </xf>
    <xf numFmtId="0" fontId="2" fillId="12" borderId="3" xfId="0" applyFont="1" applyFill="1" applyBorder="1" applyAlignment="1">
      <alignment horizontal="center"/>
    </xf>
    <xf numFmtId="0" fontId="10" fillId="13" borderId="25"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10" fillId="12" borderId="25" xfId="0" applyFont="1" applyFill="1" applyBorder="1" applyAlignment="1">
      <alignment horizontal="center" vertical="center"/>
    </xf>
    <xf numFmtId="0" fontId="10" fillId="6" borderId="25" xfId="0" applyFont="1" applyFill="1" applyBorder="1" applyAlignment="1">
      <alignment horizontal="center" vertical="center"/>
    </xf>
    <xf numFmtId="0" fontId="2" fillId="10" borderId="0" xfId="0" applyFont="1" applyFill="1" applyAlignment="1">
      <alignment horizontal="center" vertical="center" wrapText="1"/>
    </xf>
    <xf numFmtId="0" fontId="2" fillId="11" borderId="2" xfId="0" applyFont="1" applyFill="1" applyBorder="1" applyAlignment="1">
      <alignment horizontal="center"/>
    </xf>
    <xf numFmtId="0" fontId="2" fillId="11" borderId="3"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6" fillId="12" borderId="49" xfId="0" applyFont="1" applyFill="1" applyBorder="1" applyAlignment="1">
      <alignment horizontal="center" vertical="center"/>
    </xf>
    <xf numFmtId="0" fontId="26" fillId="12" borderId="50"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4" xfId="0" applyFont="1" applyFill="1" applyBorder="1" applyAlignment="1">
      <alignment horizontal="center" vertical="center"/>
    </xf>
    <xf numFmtId="0" fontId="10" fillId="6" borderId="0" xfId="0" applyFont="1" applyFill="1" applyAlignment="1">
      <alignment horizontal="left" vertical="center"/>
    </xf>
    <xf numFmtId="0" fontId="5" fillId="6" borderId="2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0" fillId="0" borderId="0" xfId="0" applyAlignment="1">
      <alignment horizontal="center" vertical="center" wrapText="1"/>
    </xf>
    <xf numFmtId="0" fontId="28" fillId="18" borderId="61" xfId="0" applyFont="1" applyFill="1" applyBorder="1" applyAlignment="1">
      <alignment horizontal="center" vertical="center" wrapText="1"/>
    </xf>
    <xf numFmtId="0" fontId="28" fillId="18" borderId="33" xfId="0" applyFont="1" applyFill="1" applyBorder="1" applyAlignment="1">
      <alignment horizontal="center" vertical="center" wrapText="1"/>
    </xf>
    <xf numFmtId="0" fontId="28" fillId="18" borderId="52" xfId="0" applyFont="1" applyFill="1" applyBorder="1" applyAlignment="1">
      <alignment horizontal="center" vertical="center" wrapText="1"/>
    </xf>
  </cellXfs>
  <cellStyles count="7">
    <cellStyle name="Millares" xfId="3" builtinId="3"/>
    <cellStyle name="Moneda" xfId="1" builtinId="4"/>
    <cellStyle name="Moneda 2" xfId="2" xr:uid="{00000000-0005-0000-0000-000002000000}"/>
    <cellStyle name="Moneda 2 2" xfId="5" xr:uid="{00000000-0005-0000-0000-000003000000}"/>
    <cellStyle name="Moneda 4" xfId="6" xr:uid="{00000000-0005-0000-0000-000004000000}"/>
    <cellStyle name="Normal" xfId="0" builtinId="0"/>
    <cellStyle name="Porcentaje" xfId="4" builtinId="5"/>
  </cellStyles>
  <dxfs count="0"/>
  <tableStyles count="0" defaultTableStyle="TableStyleMedium2" defaultPivotStyle="PivotStyleMedium9"/>
  <colors>
    <mruColors>
      <color rgb="FF055399"/>
      <color rgb="FF065EAE"/>
      <color rgb="FFB6D2FC"/>
      <color rgb="FF94BDFA"/>
      <color rgb="FFFFFF99"/>
      <color rgb="FFA9D08E"/>
      <color rgb="FFFFD966"/>
      <color rgb="FFFF9933"/>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ES" sz="1400" b="1" i="0" baseline="0">
                <a:solidFill>
                  <a:sysClr val="windowText" lastClr="000000"/>
                </a:solidFill>
                <a:effectLst/>
              </a:rPr>
              <a:t>Valor presente de los costos (Inversión + ENS)</a:t>
            </a:r>
            <a:endParaRPr lang="es-ES" sz="14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AR"/>
        </a:p>
      </c:txPr>
    </c:title>
    <c:autoTitleDeleted val="0"/>
    <c:plotArea>
      <c:layout/>
      <c:barChart>
        <c:barDir val="col"/>
        <c:grouping val="stacked"/>
        <c:varyColors val="0"/>
        <c:ser>
          <c:idx val="0"/>
          <c:order val="0"/>
          <c:tx>
            <c:strRef>
              <c:f>'RESUMEN VPC'!$D$3</c:f>
              <c:strCache>
                <c:ptCount val="1"/>
                <c:pt idx="0">
                  <c:v>Inversión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'RESUMEN VPC'!$C$4:$C$7</c:f>
              <c:strCache>
                <c:ptCount val="4"/>
                <c:pt idx="0">
                  <c:v>Sin modificaciones</c:v>
                </c:pt>
                <c:pt idx="1">
                  <c:v>RAT + BESS (E.R.A.E)</c:v>
                </c:pt>
                <c:pt idx="2">
                  <c:v>Nuevo alimentador 13,2 kV</c:v>
                </c:pt>
                <c:pt idx="3">
                  <c:v>Nuevo alimentador 33 kV + SET 33/13,2 kV</c:v>
                </c:pt>
              </c:strCache>
            </c:strRef>
          </c:cat>
          <c:val>
            <c:numRef>
              <c:f>'RESUMEN VPC'!$D$4:$D$7</c:f>
              <c:numCache>
                <c:formatCode>_-[$USD]\ * #,##0.00_-;\-[$USD]\ * #,##0.00_-;_-[$USD]\ * "-"??_-;_-@_-</c:formatCode>
                <c:ptCount val="4"/>
                <c:pt idx="0">
                  <c:v>0</c:v>
                </c:pt>
                <c:pt idx="1">
                  <c:v>740498.00224355748</c:v>
                </c:pt>
                <c:pt idx="2">
                  <c:v>1017792.1169230768</c:v>
                </c:pt>
                <c:pt idx="3">
                  <c:v>2142478.7328496524</c:v>
                </c:pt>
              </c:numCache>
            </c:numRef>
          </c:val>
          <c:extLst>
            <c:ext xmlns:c16="http://schemas.microsoft.com/office/drawing/2014/chart" uri="{C3380CC4-5D6E-409C-BE32-E72D297353CC}">
              <c16:uniqueId val="{00000000-568D-478B-BC57-024519D0F786}"/>
            </c:ext>
          </c:extLst>
        </c:ser>
        <c:ser>
          <c:idx val="1"/>
          <c:order val="1"/>
          <c:tx>
            <c:strRef>
              <c:f>'RESUMEN VPC'!$E$3</c:f>
              <c:strCache>
                <c:ptCount val="1"/>
                <c:pt idx="0">
                  <c:v>ENS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layout>
                <c:manualLayout>
                  <c:x val="1.1192984943961877E-4"/>
                  <c:y val="-0.32667012812025781"/>
                </c:manualLayout>
              </c:layout>
              <c:tx>
                <c:rich>
                  <a:bodyPr/>
                  <a:lstStyle/>
                  <a:p>
                    <a:fld id="{DBD80F35-278C-4346-8B09-6DADCF086338}" type="CELLRANGE">
                      <a:rPr lang="en-US"/>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68D-478B-BC57-024519D0F786}"/>
                </c:ext>
              </c:extLst>
            </c:dLbl>
            <c:dLbl>
              <c:idx val="1"/>
              <c:tx>
                <c:rich>
                  <a:bodyPr/>
                  <a:lstStyle/>
                  <a:p>
                    <a:fld id="{2814603F-40EC-46F6-B8F1-2FC0939BD14F}" type="CELLRANGE">
                      <a:rPr lang="es-AR"/>
                      <a:pPr/>
                      <a:t>[CELLRANGE]</a:t>
                    </a:fld>
                    <a:endParaRPr lang="es-A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68D-478B-BC57-024519D0F786}"/>
                </c:ext>
              </c:extLst>
            </c:dLbl>
            <c:dLbl>
              <c:idx val="2"/>
              <c:tx>
                <c:rich>
                  <a:bodyPr/>
                  <a:lstStyle/>
                  <a:p>
                    <a:fld id="{0A484F85-F337-4246-A68B-5B2744889D3C}" type="CELLRANGE">
                      <a:rPr lang="es-AR"/>
                      <a:pPr/>
                      <a:t>[CELLRANGE]</a:t>
                    </a:fld>
                    <a:endParaRPr lang="es-A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68D-478B-BC57-024519D0F786}"/>
                </c:ext>
              </c:extLst>
            </c:dLbl>
            <c:dLbl>
              <c:idx val="3"/>
              <c:tx>
                <c:rich>
                  <a:bodyPr/>
                  <a:lstStyle/>
                  <a:p>
                    <a:fld id="{7DCEC738-82F1-4140-915C-F4D8EF1E976B}" type="CELLRANGE">
                      <a:rPr lang="es-AR"/>
                      <a:pPr/>
                      <a:t>[CELLRANGE]</a:t>
                    </a:fld>
                    <a:endParaRPr lang="es-A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68D-478B-BC57-024519D0F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AR"/>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2">
                          <a:lumMod val="35000"/>
                          <a:lumOff val="65000"/>
                        </a:schemeClr>
                      </a:solidFill>
                    </a:ln>
                    <a:effectLst/>
                  </c:spPr>
                </c15:leaderLines>
              </c:ext>
            </c:extLst>
          </c:dLbls>
          <c:cat>
            <c:strRef>
              <c:f>'RESUMEN VPC'!$C$4:$C$7</c:f>
              <c:strCache>
                <c:ptCount val="4"/>
                <c:pt idx="0">
                  <c:v>Sin modificaciones</c:v>
                </c:pt>
                <c:pt idx="1">
                  <c:v>RAT + BESS (E.R.A.E)</c:v>
                </c:pt>
                <c:pt idx="2">
                  <c:v>Nuevo alimentador 13,2 kV</c:v>
                </c:pt>
                <c:pt idx="3">
                  <c:v>Nuevo alimentador 33 kV + SET 33/13,2 kV</c:v>
                </c:pt>
              </c:strCache>
            </c:strRef>
          </c:cat>
          <c:val>
            <c:numRef>
              <c:f>'RESUMEN VPC'!$E$4:$E$7</c:f>
              <c:numCache>
                <c:formatCode>_-[$USD]\ * #,##0.00_-;\-[$USD]\ * #,##0.00_-;_-[$USD]\ * "-"??_-;_-@_-</c:formatCode>
                <c:ptCount val="4"/>
                <c:pt idx="0">
                  <c:v>4473933.1280995756</c:v>
                </c:pt>
                <c:pt idx="1">
                  <c:v>102454.44385634936</c:v>
                </c:pt>
                <c:pt idx="2">
                  <c:v>118007.85134741098</c:v>
                </c:pt>
                <c:pt idx="3">
                  <c:v>66700.08989201489</c:v>
                </c:pt>
              </c:numCache>
            </c:numRef>
          </c:val>
          <c:extLst>
            <c:ext xmlns:c15="http://schemas.microsoft.com/office/drawing/2012/chart" uri="{02D57815-91ED-43cb-92C2-25804820EDAC}">
              <c15:datalabelsRange>
                <c15:f>'RESUMEN VPC'!$F$4:$F$7</c15:f>
                <c15:dlblRangeCache>
                  <c:ptCount val="4"/>
                  <c:pt idx="0">
                    <c:v> USD 4.473.933,13 </c:v>
                  </c:pt>
                  <c:pt idx="1">
                    <c:v> USD 842.952,45 </c:v>
                  </c:pt>
                  <c:pt idx="2">
                    <c:v> USD 1.135.799,97 </c:v>
                  </c:pt>
                  <c:pt idx="3">
                    <c:v> USD 2.209.178,82 </c:v>
                  </c:pt>
                </c15:dlblRangeCache>
              </c15:datalabelsRange>
            </c:ext>
            <c:ext xmlns:c16="http://schemas.microsoft.com/office/drawing/2014/chart" uri="{C3380CC4-5D6E-409C-BE32-E72D297353CC}">
              <c16:uniqueId val="{00000005-568D-478B-BC57-024519D0F786}"/>
            </c:ext>
          </c:extLst>
        </c:ser>
        <c:dLbls>
          <c:showLegendKey val="0"/>
          <c:showVal val="0"/>
          <c:showCatName val="0"/>
          <c:showSerName val="0"/>
          <c:showPercent val="0"/>
          <c:showBubbleSize val="0"/>
        </c:dLbls>
        <c:gapWidth val="150"/>
        <c:overlap val="100"/>
        <c:axId val="-899016480"/>
        <c:axId val="-899023552"/>
        <c:extLst/>
      </c:barChart>
      <c:catAx>
        <c:axId val="-899016480"/>
        <c:scaling>
          <c:orientation val="minMax"/>
        </c:scaling>
        <c:delete val="0"/>
        <c:axPos val="b"/>
        <c:numFmt formatCode="General" sourceLinked="0"/>
        <c:majorTickMark val="none"/>
        <c:minorTickMark val="none"/>
        <c:tickLblPos val="low"/>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AR"/>
          </a:p>
        </c:txPr>
        <c:crossAx val="-899023552"/>
        <c:crosses val="autoZero"/>
        <c:auto val="1"/>
        <c:lblAlgn val="ctr"/>
        <c:lblOffset val="100"/>
        <c:tickLblSkip val="1"/>
        <c:noMultiLvlLbl val="0"/>
      </c:catAx>
      <c:valAx>
        <c:axId val="-899023552"/>
        <c:scaling>
          <c:orientation val="minMax"/>
        </c:scaling>
        <c:delete val="1"/>
        <c:axPos val="l"/>
        <c:majorGridlines>
          <c:spPr>
            <a:ln w="9525" cap="flat" cmpd="sng" algn="ctr">
              <a:solidFill>
                <a:schemeClr val="tx2">
                  <a:lumMod val="15000"/>
                  <a:lumOff val="85000"/>
                </a:schemeClr>
              </a:solidFill>
              <a:round/>
            </a:ln>
            <a:effectLst/>
          </c:spPr>
        </c:majorGridlines>
        <c:numFmt formatCode="_-[$USD]\ * #,##0.00_-;\-[$USD]\ * #,##0.00_-;_-[$USD]\ * &quot;-&quot;??_-;_-@_-" sourceLinked="1"/>
        <c:majorTickMark val="none"/>
        <c:minorTickMark val="none"/>
        <c:tickLblPos val="nextTo"/>
        <c:crossAx val="-899016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image" Target="../media/image1.tmp"/><Relationship Id="rId1" Type="http://schemas.openxmlformats.org/officeDocument/2006/relationships/hyperlink" Target="https://energiadeentreriossa-my.sharepoint.com/personal/szeballo_enersa_com_ar/Documents/Lucas%20Mateo%20-%20PF%20MATEO%20-%20ZEBALLOS/PF%20MATEO-ZEBALLOS/02-Marco%20te&#243;rico/Tecnologias/Baterias/IRENA%20BESS%20(Precios%20y%20mas).pd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285750</xdr:colOff>
      <xdr:row>31</xdr:row>
      <xdr:rowOff>19050</xdr:rowOff>
    </xdr:from>
    <xdr:to>
      <xdr:col>15</xdr:col>
      <xdr:colOff>2024410</xdr:colOff>
      <xdr:row>44</xdr:row>
      <xdr:rowOff>95636</xdr:rowOff>
    </xdr:to>
    <xdr:pic>
      <xdr:nvPicPr>
        <xdr:cNvPr id="2" name="Imagen 1" descr="Recorte de pantalla">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354550" y="6438900"/>
          <a:ext cx="4862860" cy="2762636"/>
        </a:xfrm>
        <a:prstGeom prst="rect">
          <a:avLst/>
        </a:prstGeom>
      </xdr:spPr>
    </xdr:pic>
    <xdr:clientData/>
  </xdr:twoCellAnchor>
  <xdr:twoCellAnchor editAs="oneCell">
    <xdr:from>
      <xdr:col>7</xdr:col>
      <xdr:colOff>1514475</xdr:colOff>
      <xdr:row>52</xdr:row>
      <xdr:rowOff>133350</xdr:rowOff>
    </xdr:from>
    <xdr:to>
      <xdr:col>13</xdr:col>
      <xdr:colOff>362835</xdr:colOff>
      <xdr:row>60</xdr:row>
      <xdr:rowOff>364487</xdr:rowOff>
    </xdr:to>
    <xdr:pic>
      <xdr:nvPicPr>
        <xdr:cNvPr id="3" name="Imagen 2" descr="Recorte de pantalla">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15825" y="10848975"/>
          <a:ext cx="6335009" cy="2124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1057273</xdr:colOff>
      <xdr:row>0</xdr:row>
      <xdr:rowOff>180975</xdr:rowOff>
    </xdr:from>
    <xdr:to>
      <xdr:col>13</xdr:col>
      <xdr:colOff>133350</xdr:colOff>
      <xdr:row>18</xdr:row>
      <xdr:rowOff>33337</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eballos\OneDrive%20-%20ENERSA\Lucas%20Mateo%20-%20PF%20MATEO%20-%20ZEBALLOS\PF%20MATEO-ZEBALLOS\06-Calculos%20Economicos\01-Confiabilidad%20y%20ENS\Presupuesto%20BE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basti&#225;n\OneDrive%20-%20ENERSA\Lucas%20Mateo%20-%20PF%20MATEO%20-%20ZEBALLOS\PF%20MATEO-ZEBALLOS\05-Dimensionamiento%20BESS\Dimensionamiento%20BES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zeballos\OneDrive%20-%20ENERSA\Lucas%20Mateo%20-%20PF%20MATEO%20-%20ZEBALLOS\PF%20MATEO-ZEBALLOS\04-Adq.%20y%20procesamiento%20de%20datos\02-Proyecci&#243;n%20de%20la%20demanda\Proy.%20Demanda%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zeballos\OneDrive%20-%20ENERSA\Lucas%20Mateo%20-%20PF%20MATEO%20-%20ZEBALLOS\PF%20MATEO-ZEBALLOS\04-Adq.%20y%20procesamiento%20de%20datos\05-Calidad%20de%20producto\ENS%20por%20satur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N° 1 Pronunciamiento"/>
      <sheetName val="Base mástil"/>
      <sheetName val="Montaje mástil"/>
      <sheetName val="Comunicaciones"/>
      <sheetName val="Obra A1"/>
      <sheetName val="PRE Alternativa 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odo ANEXO VI CC"/>
      <sheetName val="ENS"/>
      <sheetName val="Capacidad banco"/>
    </sheetNames>
    <sheetDataSet>
      <sheetData sheetId="0"/>
      <sheetData sheetId="1">
        <row r="25">
          <cell r="V25">
            <v>38.3397222221829</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ia demandada anual"/>
      <sheetName val="P. Auto. LC "/>
      <sheetName val="P. Auto. Qcho."/>
      <sheetName val="P. Auto. SET"/>
      <sheetName val="Gráfico1"/>
    </sheetNames>
    <sheetDataSet>
      <sheetData sheetId="0">
        <row r="27">
          <cell r="E27">
            <v>999.90033218494125</v>
          </cell>
        </row>
        <row r="28">
          <cell r="E28">
            <v>1062.8739828696027</v>
          </cell>
        </row>
        <row r="29">
          <cell r="E29">
            <v>1129.8137095249444</v>
          </cell>
        </row>
        <row r="30">
          <cell r="E30">
            <v>1200.969295329076</v>
          </cell>
        </row>
        <row r="31">
          <cell r="E31">
            <v>1276.6062547866202</v>
          </cell>
        </row>
        <row r="32">
          <cell r="E32">
            <v>1357.0068244865186</v>
          </cell>
        </row>
        <row r="33">
          <cell r="E33">
            <v>1442.4710162576939</v>
          </cell>
        </row>
        <row r="34">
          <cell r="E34">
            <v>1533.3177366523814</v>
          </cell>
        </row>
        <row r="35">
          <cell r="E35">
            <v>1629.8859769344372</v>
          </cell>
        </row>
        <row r="36">
          <cell r="E36">
            <v>1732.5360780130252</v>
          </cell>
        </row>
        <row r="37">
          <cell r="E37">
            <v>1841.6510750417347</v>
          </cell>
        </row>
      </sheetData>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iles de carga"/>
      <sheetName val="ENS"/>
      <sheetName val="Proyección ENS"/>
    </sheetNames>
    <sheetDataSet>
      <sheetData sheetId="0"/>
      <sheetData sheetId="1"/>
      <sheetData sheetId="2">
        <row r="9">
          <cell r="C9">
            <v>40827.050743238593</v>
          </cell>
        </row>
        <row r="10">
          <cell r="C10">
            <v>60170.040951696748</v>
          </cell>
        </row>
        <row r="11">
          <cell r="C11">
            <v>85292.649579752993</v>
          </cell>
        </row>
        <row r="12">
          <cell r="C12">
            <v>117994.88370399433</v>
          </cell>
        </row>
        <row r="13">
          <cell r="C13">
            <v>160657.51620397333</v>
          </cell>
        </row>
        <row r="14">
          <cell r="C14">
            <v>215550.08254067728</v>
          </cell>
        </row>
        <row r="15">
          <cell r="C15">
            <v>283366.87751327362</v>
          </cell>
        </row>
        <row r="16">
          <cell r="C16">
            <v>363358.74490420707</v>
          </cell>
        </row>
        <row r="17">
          <cell r="C17">
            <v>454246.40614506253</v>
          </cell>
        </row>
        <row r="18">
          <cell r="C18">
            <v>554447.52559172083</v>
          </cell>
        </row>
        <row r="19">
          <cell r="C19">
            <v>662487.33493325114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1"/>
  <sheetViews>
    <sheetView showGridLines="0" zoomScaleNormal="100" workbookViewId="0">
      <selection activeCell="D8" sqref="D8"/>
    </sheetView>
  </sheetViews>
  <sheetFormatPr baseColWidth="10" defaultRowHeight="15" x14ac:dyDescent="0.25"/>
  <cols>
    <col min="2" max="2" width="41.85546875" customWidth="1"/>
    <col min="3" max="3" width="11.5703125" customWidth="1"/>
    <col min="6" max="6" width="8.5703125" customWidth="1"/>
    <col min="7" max="7" width="35.5703125" customWidth="1"/>
    <col min="10" max="10" width="13.42578125" customWidth="1"/>
    <col min="11" max="11" width="7.28515625" customWidth="1"/>
    <col min="12" max="12" width="34.28515625" customWidth="1"/>
  </cols>
  <sheetData>
    <row r="2" spans="2:18" ht="15.75" x14ac:dyDescent="0.25">
      <c r="B2" s="32" t="s">
        <v>18</v>
      </c>
      <c r="C2" s="10"/>
      <c r="D2" s="10"/>
      <c r="E2" s="10"/>
    </row>
    <row r="4" spans="2:18" ht="16.5" thickBot="1" x14ac:dyDescent="0.3">
      <c r="F4" s="8"/>
      <c r="R4" s="8"/>
    </row>
    <row r="5" spans="2:18" x14ac:dyDescent="0.25">
      <c r="B5" s="11" t="s">
        <v>4</v>
      </c>
      <c r="C5" s="12" t="s">
        <v>5</v>
      </c>
      <c r="D5" s="13">
        <v>46</v>
      </c>
      <c r="E5" s="14" t="s">
        <v>6</v>
      </c>
    </row>
    <row r="6" spans="2:18" x14ac:dyDescent="0.25">
      <c r="B6" s="15" t="s">
        <v>21</v>
      </c>
      <c r="C6" s="2"/>
      <c r="D6" s="26">
        <v>49</v>
      </c>
      <c r="E6" s="16" t="s">
        <v>9</v>
      </c>
    </row>
    <row r="7" spans="2:18" x14ac:dyDescent="0.25">
      <c r="B7" s="23" t="s">
        <v>11</v>
      </c>
      <c r="C7" s="2"/>
      <c r="D7" s="3">
        <f>D6/D5*100</f>
        <v>106.5217391304348</v>
      </c>
      <c r="E7" s="16" t="s">
        <v>9</v>
      </c>
    </row>
    <row r="8" spans="2:18" x14ac:dyDescent="0.25">
      <c r="B8" s="15" t="s">
        <v>22</v>
      </c>
      <c r="C8" s="2"/>
      <c r="D8" s="25">
        <v>87.739675925811753</v>
      </c>
      <c r="E8" s="16" t="s">
        <v>10</v>
      </c>
    </row>
    <row r="9" spans="2:18" x14ac:dyDescent="0.25">
      <c r="B9" s="20" t="s">
        <v>2</v>
      </c>
      <c r="C9" s="2"/>
      <c r="D9" s="22">
        <f>D8/365/24</f>
        <v>1.0015944740389469E-2</v>
      </c>
      <c r="E9" s="16"/>
    </row>
    <row r="10" spans="2:18" ht="15.75" thickBot="1" x14ac:dyDescent="0.3">
      <c r="B10" s="21" t="s">
        <v>15</v>
      </c>
      <c r="C10" s="18"/>
      <c r="D10" s="24">
        <f>1-D9</f>
        <v>0.98998405525961053</v>
      </c>
      <c r="E10" s="19"/>
    </row>
    <row r="12" spans="2:18" x14ac:dyDescent="0.25">
      <c r="B12" s="38" t="s">
        <v>14</v>
      </c>
      <c r="C12" s="27"/>
      <c r="D12" s="27"/>
      <c r="E12" s="27"/>
    </row>
    <row r="16" spans="2:18" ht="15.75" x14ac:dyDescent="0.25">
      <c r="B16" s="32" t="s">
        <v>20</v>
      </c>
      <c r="C16" s="10"/>
      <c r="D16" s="10"/>
      <c r="E16" s="10"/>
    </row>
    <row r="18" spans="2:5" ht="15.75" thickBot="1" x14ac:dyDescent="0.3"/>
    <row r="19" spans="2:5" x14ac:dyDescent="0.25">
      <c r="B19" s="11" t="s">
        <v>24</v>
      </c>
      <c r="C19" s="13"/>
      <c r="D19" s="28">
        <f>[2]ENS!$V$25</f>
        <v>38.3397222221829</v>
      </c>
      <c r="E19" s="14" t="s">
        <v>10</v>
      </c>
    </row>
    <row r="20" spans="2:5" x14ac:dyDescent="0.25">
      <c r="B20" s="20" t="s">
        <v>2</v>
      </c>
      <c r="C20" s="2"/>
      <c r="D20" s="22">
        <f>D19/365/24</f>
        <v>4.3766806189706508E-3</v>
      </c>
      <c r="E20" s="16"/>
    </row>
    <row r="21" spans="2:5" ht="15.75" thickBot="1" x14ac:dyDescent="0.3">
      <c r="B21" s="21" t="s">
        <v>15</v>
      </c>
      <c r="C21" s="18"/>
      <c r="D21" s="24">
        <f>1-D20</f>
        <v>0.99562331938102933</v>
      </c>
      <c r="E21" s="19"/>
    </row>
    <row r="23" spans="2:5" x14ac:dyDescent="0.25">
      <c r="B23" s="38" t="s">
        <v>25</v>
      </c>
      <c r="C23" s="27"/>
      <c r="D23" s="27"/>
      <c r="E23" s="27"/>
    </row>
    <row r="27" spans="2:5" ht="15.75" x14ac:dyDescent="0.25">
      <c r="B27" s="32" t="s">
        <v>19</v>
      </c>
      <c r="C27" s="10"/>
      <c r="D27" s="10"/>
      <c r="E27" s="10"/>
    </row>
    <row r="29" spans="2:5" ht="15.75" thickBot="1" x14ac:dyDescent="0.3"/>
    <row r="30" spans="2:5" ht="15.75" customHeight="1" x14ac:dyDescent="0.25">
      <c r="B30" s="334"/>
      <c r="C30" s="338" t="s">
        <v>3</v>
      </c>
      <c r="D30" s="338"/>
      <c r="E30" s="336"/>
    </row>
    <row r="31" spans="2:5" x14ac:dyDescent="0.25">
      <c r="B31" s="335"/>
      <c r="C31" s="36" t="s">
        <v>7</v>
      </c>
      <c r="D31" s="36" t="s">
        <v>8</v>
      </c>
      <c r="E31" s="337"/>
    </row>
    <row r="32" spans="2:5" x14ac:dyDescent="0.25">
      <c r="B32" s="23" t="s">
        <v>26</v>
      </c>
      <c r="C32" s="37">
        <v>0.36</v>
      </c>
      <c r="D32" s="26">
        <v>0.02</v>
      </c>
      <c r="E32" s="33" t="s">
        <v>9</v>
      </c>
    </row>
    <row r="33" spans="2:5" x14ac:dyDescent="0.25">
      <c r="B33" s="23" t="s">
        <v>27</v>
      </c>
      <c r="C33" s="25">
        <v>2.5</v>
      </c>
      <c r="D33" s="25">
        <v>24</v>
      </c>
      <c r="E33" s="33" t="s">
        <v>10</v>
      </c>
    </row>
    <row r="34" spans="2:5" x14ac:dyDescent="0.25">
      <c r="B34" s="34" t="s">
        <v>23</v>
      </c>
      <c r="C34" s="29">
        <v>32</v>
      </c>
      <c r="D34" s="29">
        <f>C34</f>
        <v>32</v>
      </c>
      <c r="E34" s="33" t="s">
        <v>6</v>
      </c>
    </row>
    <row r="35" spans="2:5" x14ac:dyDescent="0.25">
      <c r="B35" s="34" t="s">
        <v>12</v>
      </c>
      <c r="C35" s="30">
        <f>C32*C33*C34</f>
        <v>28.799999999999997</v>
      </c>
      <c r="D35" s="30">
        <f>D32*D33*D34</f>
        <v>15.36</v>
      </c>
      <c r="E35" s="33" t="s">
        <v>10</v>
      </c>
    </row>
    <row r="36" spans="2:5" x14ac:dyDescent="0.25">
      <c r="B36" s="34" t="s">
        <v>13</v>
      </c>
      <c r="C36" s="339">
        <f>C35+D35</f>
        <v>44.16</v>
      </c>
      <c r="D36" s="339"/>
      <c r="E36" s="33" t="s">
        <v>10</v>
      </c>
    </row>
    <row r="37" spans="2:5" x14ac:dyDescent="0.25">
      <c r="B37" s="34" t="s">
        <v>2</v>
      </c>
      <c r="C37" s="31">
        <f>C35/365/24</f>
        <v>3.2876712328767121E-3</v>
      </c>
      <c r="D37" s="31">
        <f>D35/365/24</f>
        <v>1.7534246575342466E-3</v>
      </c>
      <c r="E37" s="33"/>
    </row>
    <row r="38" spans="2:5" x14ac:dyDescent="0.25">
      <c r="B38" s="23" t="s">
        <v>15</v>
      </c>
      <c r="C38" s="31">
        <f>1-C37</f>
        <v>0.99671232876712323</v>
      </c>
      <c r="D38" s="31">
        <f>1-D37</f>
        <v>0.99824657534246575</v>
      </c>
      <c r="E38" s="33"/>
    </row>
    <row r="39" spans="2:5" x14ac:dyDescent="0.25">
      <c r="B39" s="34" t="s">
        <v>16</v>
      </c>
      <c r="C39" s="340">
        <f>C37+D37</f>
        <v>5.0410958904109592E-3</v>
      </c>
      <c r="D39" s="340"/>
      <c r="E39" s="33"/>
    </row>
    <row r="40" spans="2:5" ht="15.75" thickBot="1" x14ac:dyDescent="0.3">
      <c r="B40" s="17" t="s">
        <v>17</v>
      </c>
      <c r="C40" s="341">
        <f>1-C39</f>
        <v>0.99495890410958909</v>
      </c>
      <c r="D40" s="341"/>
      <c r="E40" s="35"/>
    </row>
    <row r="42" spans="2:5" x14ac:dyDescent="0.25">
      <c r="B42" s="38" t="s">
        <v>29</v>
      </c>
      <c r="C42" s="27"/>
      <c r="D42" s="27"/>
      <c r="E42" s="27"/>
    </row>
    <row r="46" spans="2:5" ht="15.75" x14ac:dyDescent="0.25">
      <c r="B46" s="32" t="s">
        <v>28</v>
      </c>
      <c r="C46" s="10"/>
      <c r="D46" s="10"/>
      <c r="E46" s="10"/>
    </row>
    <row r="47" spans="2:5" x14ac:dyDescent="0.25">
      <c r="B47" s="5"/>
    </row>
    <row r="48" spans="2:5" ht="15.75" thickBot="1" x14ac:dyDescent="0.3"/>
    <row r="49" spans="2:5" x14ac:dyDescent="0.25">
      <c r="B49" s="42"/>
      <c r="C49" s="338" t="s">
        <v>3</v>
      </c>
      <c r="D49" s="338"/>
      <c r="E49" s="43"/>
    </row>
    <row r="50" spans="2:5" x14ac:dyDescent="0.25">
      <c r="B50" s="44"/>
      <c r="C50" s="36" t="s">
        <v>7</v>
      </c>
      <c r="D50" s="36" t="s">
        <v>8</v>
      </c>
      <c r="E50" s="45"/>
    </row>
    <row r="51" spans="2:5" x14ac:dyDescent="0.25">
      <c r="B51" s="23" t="s">
        <v>26</v>
      </c>
      <c r="C51" s="6">
        <v>0.12</v>
      </c>
      <c r="D51" s="6">
        <v>0.02</v>
      </c>
      <c r="E51" s="33" t="s">
        <v>9</v>
      </c>
    </row>
    <row r="52" spans="2:5" x14ac:dyDescent="0.25">
      <c r="B52" s="23" t="s">
        <v>27</v>
      </c>
      <c r="C52" s="6">
        <v>2.5</v>
      </c>
      <c r="D52" s="6">
        <v>24</v>
      </c>
      <c r="E52" s="33" t="s">
        <v>10</v>
      </c>
    </row>
    <row r="53" spans="2:5" x14ac:dyDescent="0.25">
      <c r="B53" s="20" t="s">
        <v>23</v>
      </c>
      <c r="C53" s="4">
        <v>32</v>
      </c>
      <c r="D53" s="4">
        <f>C53</f>
        <v>32</v>
      </c>
      <c r="E53" s="33" t="s">
        <v>6</v>
      </c>
    </row>
    <row r="54" spans="2:5" x14ac:dyDescent="0.25">
      <c r="B54" s="34" t="s">
        <v>12</v>
      </c>
      <c r="C54" s="30">
        <f>C51*C52*C53</f>
        <v>9.6</v>
      </c>
      <c r="D54" s="30">
        <f>D51*D52*D53</f>
        <v>15.36</v>
      </c>
      <c r="E54" s="33" t="s">
        <v>10</v>
      </c>
    </row>
    <row r="55" spans="2:5" x14ac:dyDescent="0.25">
      <c r="B55" s="34" t="s">
        <v>13</v>
      </c>
      <c r="C55" s="339">
        <f>C54+D54</f>
        <v>24.96</v>
      </c>
      <c r="D55" s="339"/>
      <c r="E55" s="33" t="s">
        <v>10</v>
      </c>
    </row>
    <row r="56" spans="2:5" x14ac:dyDescent="0.25">
      <c r="B56" s="34" t="s">
        <v>2</v>
      </c>
      <c r="C56" s="31">
        <f>(C51*C53*C52)/(365*24)</f>
        <v>1.095890410958904E-3</v>
      </c>
      <c r="D56" s="31">
        <f>(D51*D53*D52)/(365*24)</f>
        <v>1.7534246575342464E-3</v>
      </c>
      <c r="E56" s="39"/>
    </row>
    <row r="57" spans="2:5" x14ac:dyDescent="0.25">
      <c r="B57" s="34" t="s">
        <v>15</v>
      </c>
      <c r="C57" s="31">
        <f>1-C56</f>
        <v>0.99890410958904108</v>
      </c>
      <c r="D57" s="31">
        <f>1-D56</f>
        <v>0.99824657534246575</v>
      </c>
      <c r="E57" s="39"/>
    </row>
    <row r="58" spans="2:5" x14ac:dyDescent="0.25">
      <c r="B58" s="34" t="s">
        <v>16</v>
      </c>
      <c r="C58" s="340">
        <f>C56+D56</f>
        <v>2.8493150684931502E-3</v>
      </c>
      <c r="D58" s="340"/>
      <c r="E58" s="39"/>
    </row>
    <row r="59" spans="2:5" ht="15.75" thickBot="1" x14ac:dyDescent="0.3">
      <c r="B59" s="41" t="s">
        <v>17</v>
      </c>
      <c r="C59" s="341">
        <f>1-C58</f>
        <v>0.99715068493150683</v>
      </c>
      <c r="D59" s="341"/>
      <c r="E59" s="40"/>
    </row>
    <row r="61" spans="2:5" x14ac:dyDescent="0.25">
      <c r="B61" s="38" t="s">
        <v>29</v>
      </c>
      <c r="C61" s="27"/>
      <c r="D61" s="27"/>
      <c r="E61" s="27"/>
    </row>
  </sheetData>
  <mergeCells count="10">
    <mergeCell ref="C58:D58"/>
    <mergeCell ref="C59:D59"/>
    <mergeCell ref="C39:D39"/>
    <mergeCell ref="C40:D40"/>
    <mergeCell ref="C49:D49"/>
    <mergeCell ref="B30:B31"/>
    <mergeCell ref="E30:E31"/>
    <mergeCell ref="C30:D30"/>
    <mergeCell ref="C36:D36"/>
    <mergeCell ref="C55:D5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55"/>
  <sheetViews>
    <sheetView showGridLines="0" zoomScale="85" zoomScaleNormal="85" workbookViewId="0">
      <selection activeCell="I14" sqref="I14"/>
    </sheetView>
  </sheetViews>
  <sheetFormatPr baseColWidth="10" defaultColWidth="9.140625" defaultRowHeight="15" x14ac:dyDescent="0.25"/>
  <cols>
    <col min="2" max="2" width="44.140625" customWidth="1"/>
    <col min="3" max="3" width="30.5703125" customWidth="1"/>
    <col min="4" max="12" width="15.5703125" customWidth="1"/>
    <col min="13" max="14" width="17.28515625" customWidth="1"/>
  </cols>
  <sheetData>
    <row r="2" spans="2:14" ht="23.25" x14ac:dyDescent="0.35">
      <c r="B2" s="62" t="s">
        <v>35</v>
      </c>
    </row>
    <row r="3" spans="2:14" s="7" customFormat="1" ht="15.75" thickBot="1" x14ac:dyDescent="0.3">
      <c r="B3" s="9"/>
    </row>
    <row r="4" spans="2:14" s="7" customFormat="1" ht="15.75" thickBot="1" x14ac:dyDescent="0.3">
      <c r="B4" s="9"/>
      <c r="C4" s="65" t="s">
        <v>1</v>
      </c>
      <c r="D4" s="66">
        <v>2</v>
      </c>
      <c r="E4" s="67" t="s">
        <v>34</v>
      </c>
    </row>
    <row r="5" spans="2:14" s="7" customFormat="1" x14ac:dyDescent="0.25">
      <c r="B5" s="9"/>
    </row>
    <row r="6" spans="2:14" ht="18.75" x14ac:dyDescent="0.3">
      <c r="B6" s="61" t="s">
        <v>33</v>
      </c>
      <c r="C6" s="10"/>
      <c r="D6" s="10"/>
      <c r="E6" s="10"/>
      <c r="F6" s="10"/>
      <c r="G6" s="10"/>
      <c r="H6" s="10"/>
      <c r="I6" s="10"/>
      <c r="J6" s="10"/>
      <c r="K6" s="10"/>
      <c r="L6" s="10"/>
      <c r="M6" s="10"/>
      <c r="N6" s="10"/>
    </row>
    <row r="9" spans="2:14" ht="15.75" thickBot="1" x14ac:dyDescent="0.3"/>
    <row r="10" spans="2:14" x14ac:dyDescent="0.25">
      <c r="B10" s="71"/>
      <c r="C10" s="68" t="s">
        <v>0</v>
      </c>
      <c r="D10" s="68">
        <v>2020</v>
      </c>
      <c r="E10" s="68">
        <v>2021</v>
      </c>
      <c r="F10" s="68">
        <v>2022</v>
      </c>
      <c r="G10" s="68">
        <v>2023</v>
      </c>
      <c r="H10" s="68">
        <v>2024</v>
      </c>
      <c r="I10" s="68">
        <v>2025</v>
      </c>
      <c r="J10" s="68">
        <v>2026</v>
      </c>
      <c r="K10" s="68">
        <v>2027</v>
      </c>
      <c r="L10" s="68">
        <v>2028</v>
      </c>
      <c r="M10" s="68">
        <v>2029</v>
      </c>
      <c r="N10" s="69">
        <v>2030</v>
      </c>
    </row>
    <row r="11" spans="2:14" x14ac:dyDescent="0.25">
      <c r="B11" s="72"/>
      <c r="C11" s="49" t="s">
        <v>37</v>
      </c>
      <c r="D11" s="1">
        <f>'[3]Energia demandada anual'!E27*1000</f>
        <v>999900.33218494128</v>
      </c>
      <c r="E11" s="1">
        <f>'[3]Energia demandada anual'!E28*1000</f>
        <v>1062873.9828696027</v>
      </c>
      <c r="F11" s="1">
        <f>'[3]Energia demandada anual'!E29*1000</f>
        <v>1129813.7095249444</v>
      </c>
      <c r="G11" s="1">
        <f>'[3]Energia demandada anual'!E30*1000</f>
        <v>1200969.295329076</v>
      </c>
      <c r="H11" s="1">
        <f>'[3]Energia demandada anual'!E31*1000</f>
        <v>1276606.2547866201</v>
      </c>
      <c r="I11" s="1">
        <f>'[3]Energia demandada anual'!E32*1000</f>
        <v>1357006.8244865185</v>
      </c>
      <c r="J11" s="1">
        <f>'[3]Energia demandada anual'!E33*1000</f>
        <v>1442471.016257694</v>
      </c>
      <c r="K11" s="1">
        <f>'[3]Energia demandada anual'!E34*1000</f>
        <v>1533317.7366523815</v>
      </c>
      <c r="L11" s="1">
        <f>'[3]Energia demandada anual'!E35*1000</f>
        <v>1629885.9769344372</v>
      </c>
      <c r="M11" s="1">
        <f>'[3]Energia demandada anual'!E36*1000</f>
        <v>1732536.0780130252</v>
      </c>
      <c r="N11" s="73">
        <f>'[3]Energia demandada anual'!E37*1000</f>
        <v>1841651.0750417346</v>
      </c>
    </row>
    <row r="12" spans="2:14" x14ac:dyDescent="0.25">
      <c r="B12" s="72"/>
      <c r="C12" s="74"/>
      <c r="D12" s="74"/>
      <c r="E12" s="74"/>
      <c r="F12" s="74"/>
      <c r="G12" s="74"/>
      <c r="H12" s="74"/>
      <c r="I12" s="74"/>
      <c r="J12" s="74"/>
      <c r="K12" s="74"/>
      <c r="L12" s="74"/>
      <c r="M12" s="74"/>
      <c r="N12" s="75"/>
    </row>
    <row r="13" spans="2:14" x14ac:dyDescent="0.25">
      <c r="B13" s="76" t="s">
        <v>36</v>
      </c>
      <c r="C13" s="63" t="s">
        <v>2</v>
      </c>
      <c r="D13" s="345" t="s">
        <v>221</v>
      </c>
      <c r="E13" s="345"/>
      <c r="F13" s="345"/>
      <c r="G13" s="345"/>
      <c r="H13" s="345"/>
      <c r="I13" s="345"/>
      <c r="J13" s="345"/>
      <c r="K13" s="345"/>
      <c r="L13" s="345"/>
      <c r="M13" s="345"/>
      <c r="N13" s="346"/>
    </row>
    <row r="14" spans="2:14" x14ac:dyDescent="0.25">
      <c r="B14" s="77" t="s">
        <v>38</v>
      </c>
      <c r="C14" s="50">
        <f>Confiabilidad!$D$9</f>
        <v>1.0015944740389469E-2</v>
      </c>
      <c r="D14" s="51">
        <f>D$11*$C14</f>
        <v>10014.946473061445</v>
      </c>
      <c r="E14" s="51">
        <f t="shared" ref="E14:N14" si="0">E$11*$C14</f>
        <v>10645.687078419603</v>
      </c>
      <c r="F14" s="51">
        <f t="shared" si="0"/>
        <v>11316.151681536283</v>
      </c>
      <c r="G14" s="51">
        <f t="shared" si="0"/>
        <v>12028.842096920505</v>
      </c>
      <c r="H14" s="51">
        <f t="shared" si="0"/>
        <v>12786.417703178347</v>
      </c>
      <c r="I14" s="51">
        <f t="shared" si="0"/>
        <v>13591.70536638836</v>
      </c>
      <c r="J14" s="51">
        <f t="shared" si="0"/>
        <v>14447.709988450502</v>
      </c>
      <c r="K14" s="51">
        <f t="shared" si="0"/>
        <v>15357.625719769305</v>
      </c>
      <c r="L14" s="51">
        <f t="shared" si="0"/>
        <v>16324.847878111028</v>
      </c>
      <c r="M14" s="51">
        <f t="shared" si="0"/>
        <v>17352.98561810956</v>
      </c>
      <c r="N14" s="78">
        <f t="shared" si="0"/>
        <v>18445.875398696873</v>
      </c>
    </row>
    <row r="15" spans="2:14" x14ac:dyDescent="0.25">
      <c r="B15" s="95" t="s">
        <v>30</v>
      </c>
      <c r="C15" s="96">
        <f>Confiabilidad!$D$20</f>
        <v>4.3766806189706508E-3</v>
      </c>
      <c r="D15" s="99">
        <f t="shared" ref="D15:N17" si="1">D$11*$C15</f>
        <v>4376.2444047761483</v>
      </c>
      <c r="E15" s="99">
        <f t="shared" si="1"/>
        <v>4651.8599612335338</v>
      </c>
      <c r="F15" s="99">
        <f t="shared" si="1"/>
        <v>4944.8337655251607</v>
      </c>
      <c r="G15" s="99">
        <f t="shared" si="1"/>
        <v>5256.2590388456065</v>
      </c>
      <c r="H15" s="99">
        <f t="shared" si="1"/>
        <v>5587.2978533813093</v>
      </c>
      <c r="I15" s="99">
        <f t="shared" si="1"/>
        <v>5939.1854685410535</v>
      </c>
      <c r="J15" s="99">
        <f t="shared" si="1"/>
        <v>6313.2349402819482</v>
      </c>
      <c r="K15" s="99">
        <f t="shared" si="1"/>
        <v>6710.8420207304225</v>
      </c>
      <c r="L15" s="99">
        <f t="shared" si="1"/>
        <v>7133.4903663809964</v>
      </c>
      <c r="M15" s="99">
        <f t="shared" si="1"/>
        <v>7582.757074307031</v>
      </c>
      <c r="N15" s="100">
        <f t="shared" si="1"/>
        <v>8060.3185670416233</v>
      </c>
    </row>
    <row r="16" spans="2:14" x14ac:dyDescent="0.25">
      <c r="B16" s="81" t="s">
        <v>31</v>
      </c>
      <c r="C16" s="48">
        <f>Confiabilidad!$C$39</f>
        <v>5.0410958904109592E-3</v>
      </c>
      <c r="D16" s="52">
        <f t="shared" si="1"/>
        <v>5040.5934553980605</v>
      </c>
      <c r="E16" s="52">
        <f t="shared" si="1"/>
        <v>5358.0496670686825</v>
      </c>
      <c r="F16" s="52">
        <f t="shared" si="1"/>
        <v>5695.4992480161582</v>
      </c>
      <c r="G16" s="52">
        <f t="shared" si="1"/>
        <v>6054.2013791931504</v>
      </c>
      <c r="H16" s="52">
        <f t="shared" si="1"/>
        <v>6435.4945446777565</v>
      </c>
      <c r="I16" s="52">
        <f t="shared" si="1"/>
        <v>6840.801526178614</v>
      </c>
      <c r="J16" s="52">
        <f t="shared" si="1"/>
        <v>7271.6347120935807</v>
      </c>
      <c r="K16" s="52">
        <f t="shared" si="1"/>
        <v>7729.6017409325532</v>
      </c>
      <c r="L16" s="52">
        <f t="shared" si="1"/>
        <v>8216.4115001626433</v>
      </c>
      <c r="M16" s="52">
        <f t="shared" si="1"/>
        <v>8733.8805028601819</v>
      </c>
      <c r="N16" s="82">
        <f t="shared" si="1"/>
        <v>9283.9396659638132</v>
      </c>
    </row>
    <row r="17" spans="2:14" x14ac:dyDescent="0.25">
      <c r="B17" s="83" t="s">
        <v>32</v>
      </c>
      <c r="C17" s="55">
        <f>Confiabilidad!$C$58</f>
        <v>2.8493150684931502E-3</v>
      </c>
      <c r="D17" s="56">
        <f t="shared" si="1"/>
        <v>2849.0310834858597</v>
      </c>
      <c r="E17" s="56">
        <f t="shared" si="1"/>
        <v>3028.4628552996896</v>
      </c>
      <c r="F17" s="56">
        <f t="shared" si="1"/>
        <v>3219.1952271395671</v>
      </c>
      <c r="G17" s="56">
        <f t="shared" si="1"/>
        <v>3421.9399099787365</v>
      </c>
      <c r="H17" s="56">
        <f t="shared" si="1"/>
        <v>3637.4534382961224</v>
      </c>
      <c r="I17" s="56">
        <f t="shared" si="1"/>
        <v>3866.5399930574767</v>
      </c>
      <c r="J17" s="56">
        <f t="shared" si="1"/>
        <v>4110.0544024876754</v>
      </c>
      <c r="K17" s="56">
        <f t="shared" si="1"/>
        <v>4368.9053318314427</v>
      </c>
      <c r="L17" s="56">
        <f t="shared" si="1"/>
        <v>4644.0586740049712</v>
      </c>
      <c r="M17" s="56">
        <f t="shared" si="1"/>
        <v>4936.5411537905366</v>
      </c>
      <c r="N17" s="84">
        <f t="shared" si="1"/>
        <v>5247.4441590230235</v>
      </c>
    </row>
    <row r="18" spans="2:14" x14ac:dyDescent="0.25">
      <c r="B18" s="85"/>
      <c r="C18" s="53"/>
      <c r="D18" s="54"/>
      <c r="E18" s="54"/>
      <c r="F18" s="54"/>
      <c r="G18" s="54"/>
      <c r="H18" s="54"/>
      <c r="I18" s="54"/>
      <c r="J18" s="54"/>
      <c r="K18" s="54"/>
      <c r="L18" s="54"/>
      <c r="M18" s="54"/>
      <c r="N18" s="86"/>
    </row>
    <row r="19" spans="2:14" x14ac:dyDescent="0.25">
      <c r="B19" s="72"/>
      <c r="C19" s="74"/>
      <c r="D19" s="74"/>
      <c r="E19" s="74"/>
      <c r="F19" s="74"/>
      <c r="G19" s="74"/>
      <c r="H19" s="74"/>
      <c r="I19" s="74"/>
      <c r="J19" s="74"/>
      <c r="K19" s="74"/>
      <c r="L19" s="74"/>
      <c r="M19" s="74"/>
      <c r="N19" s="75"/>
    </row>
    <row r="20" spans="2:14" x14ac:dyDescent="0.25">
      <c r="B20" s="87" t="s">
        <v>36</v>
      </c>
      <c r="C20" s="64" t="s">
        <v>2</v>
      </c>
      <c r="D20" s="347" t="s">
        <v>222</v>
      </c>
      <c r="E20" s="347"/>
      <c r="F20" s="347"/>
      <c r="G20" s="347"/>
      <c r="H20" s="347"/>
      <c r="I20" s="347"/>
      <c r="J20" s="347"/>
      <c r="K20" s="347"/>
      <c r="L20" s="347"/>
      <c r="M20" s="347"/>
      <c r="N20" s="348"/>
    </row>
    <row r="21" spans="2:14" x14ac:dyDescent="0.25">
      <c r="B21" s="77" t="s">
        <v>38</v>
      </c>
      <c r="C21" s="50">
        <f>Confiabilidad!$D$9</f>
        <v>1.0015944740389469E-2</v>
      </c>
      <c r="D21" s="58">
        <f>D14*$D$4</f>
        <v>20029.892946122891</v>
      </c>
      <c r="E21" s="58">
        <f t="shared" ref="E21:N21" si="2">E14*$D$4</f>
        <v>21291.374156839207</v>
      </c>
      <c r="F21" s="58">
        <f t="shared" si="2"/>
        <v>22632.303363072566</v>
      </c>
      <c r="G21" s="58">
        <f t="shared" si="2"/>
        <v>24057.684193841011</v>
      </c>
      <c r="H21" s="58">
        <f t="shared" si="2"/>
        <v>25572.835406356695</v>
      </c>
      <c r="I21" s="58">
        <f t="shared" si="2"/>
        <v>27183.41073277672</v>
      </c>
      <c r="J21" s="58">
        <f t="shared" si="2"/>
        <v>28895.419976901005</v>
      </c>
      <c r="K21" s="58">
        <f t="shared" si="2"/>
        <v>30715.25143953861</v>
      </c>
      <c r="L21" s="58">
        <f t="shared" si="2"/>
        <v>32649.695756222056</v>
      </c>
      <c r="M21" s="58">
        <f t="shared" si="2"/>
        <v>34705.97123621912</v>
      </c>
      <c r="N21" s="88">
        <f t="shared" si="2"/>
        <v>36891.750797393746</v>
      </c>
    </row>
    <row r="22" spans="2:14" x14ac:dyDescent="0.25">
      <c r="B22" s="95" t="s">
        <v>30</v>
      </c>
      <c r="C22" s="96">
        <f>Confiabilidad!$D$20</f>
        <v>4.3766806189706508E-3</v>
      </c>
      <c r="D22" s="97">
        <f t="shared" ref="D22:N24" si="3">D15*$D$4</f>
        <v>8752.4888095522965</v>
      </c>
      <c r="E22" s="97">
        <f t="shared" si="3"/>
        <v>9303.7199224670676</v>
      </c>
      <c r="F22" s="97">
        <f t="shared" si="3"/>
        <v>9889.6675310503215</v>
      </c>
      <c r="G22" s="97">
        <f t="shared" si="3"/>
        <v>10512.518077691213</v>
      </c>
      <c r="H22" s="97">
        <f t="shared" si="3"/>
        <v>11174.595706762619</v>
      </c>
      <c r="I22" s="97">
        <f t="shared" si="3"/>
        <v>11878.370937082107</v>
      </c>
      <c r="J22" s="97">
        <f t="shared" si="3"/>
        <v>12626.469880563896</v>
      </c>
      <c r="K22" s="97">
        <f t="shared" si="3"/>
        <v>13421.684041460845</v>
      </c>
      <c r="L22" s="97">
        <f t="shared" si="3"/>
        <v>14266.980732761993</v>
      </c>
      <c r="M22" s="97">
        <f t="shared" si="3"/>
        <v>15165.514148614062</v>
      </c>
      <c r="N22" s="98">
        <f t="shared" si="3"/>
        <v>16120.637134083247</v>
      </c>
    </row>
    <row r="23" spans="2:14" x14ac:dyDescent="0.25">
      <c r="B23" s="81" t="s">
        <v>31</v>
      </c>
      <c r="C23" s="48">
        <f>Confiabilidad!$C$39</f>
        <v>5.0410958904109592E-3</v>
      </c>
      <c r="D23" s="47">
        <f t="shared" si="3"/>
        <v>10081.186910796121</v>
      </c>
      <c r="E23" s="47">
        <f t="shared" si="3"/>
        <v>10716.099334137365</v>
      </c>
      <c r="F23" s="47">
        <f t="shared" si="3"/>
        <v>11390.998496032316</v>
      </c>
      <c r="G23" s="47">
        <f t="shared" si="3"/>
        <v>12108.402758386301</v>
      </c>
      <c r="H23" s="47">
        <f t="shared" si="3"/>
        <v>12870.989089355513</v>
      </c>
      <c r="I23" s="47">
        <f t="shared" si="3"/>
        <v>13681.603052357228</v>
      </c>
      <c r="J23" s="47">
        <f t="shared" si="3"/>
        <v>14543.269424187161</v>
      </c>
      <c r="K23" s="47">
        <f t="shared" si="3"/>
        <v>15459.203481865106</v>
      </c>
      <c r="L23" s="47">
        <f t="shared" si="3"/>
        <v>16432.823000325287</v>
      </c>
      <c r="M23" s="47">
        <f t="shared" si="3"/>
        <v>17467.761005720364</v>
      </c>
      <c r="N23" s="90">
        <f t="shared" si="3"/>
        <v>18567.879331927626</v>
      </c>
    </row>
    <row r="24" spans="2:14" ht="15.75" thickBot="1" x14ac:dyDescent="0.3">
      <c r="B24" s="91" t="s">
        <v>32</v>
      </c>
      <c r="C24" s="92">
        <f>Confiabilidad!$C$58</f>
        <v>2.8493150684931502E-3</v>
      </c>
      <c r="D24" s="93">
        <f t="shared" si="3"/>
        <v>5698.0621669717193</v>
      </c>
      <c r="E24" s="93">
        <f t="shared" si="3"/>
        <v>6056.9257105993793</v>
      </c>
      <c r="F24" s="93">
        <f t="shared" si="3"/>
        <v>6438.3904542791342</v>
      </c>
      <c r="G24" s="93">
        <f t="shared" si="3"/>
        <v>6843.879819957473</v>
      </c>
      <c r="H24" s="93">
        <f t="shared" si="3"/>
        <v>7274.9068765922448</v>
      </c>
      <c r="I24" s="93">
        <f t="shared" si="3"/>
        <v>7733.0799861149535</v>
      </c>
      <c r="J24" s="93">
        <f t="shared" si="3"/>
        <v>8220.1088049753507</v>
      </c>
      <c r="K24" s="93">
        <f t="shared" si="3"/>
        <v>8737.8106636628854</v>
      </c>
      <c r="L24" s="93">
        <f t="shared" si="3"/>
        <v>9288.1173480099424</v>
      </c>
      <c r="M24" s="93">
        <f t="shared" si="3"/>
        <v>9873.0823075810731</v>
      </c>
      <c r="N24" s="94">
        <f t="shared" si="3"/>
        <v>10494.888318046047</v>
      </c>
    </row>
    <row r="28" spans="2:14" ht="18.75" x14ac:dyDescent="0.3">
      <c r="B28" s="61" t="s">
        <v>47</v>
      </c>
      <c r="C28" s="10"/>
      <c r="D28" s="10"/>
      <c r="E28" s="10"/>
      <c r="F28" s="10"/>
      <c r="G28" s="10"/>
      <c r="H28" s="10"/>
      <c r="I28" s="10"/>
      <c r="J28" s="10"/>
      <c r="K28" s="10"/>
      <c r="L28" s="10"/>
      <c r="M28" s="10"/>
      <c r="N28" s="10"/>
    </row>
    <row r="30" spans="2:14" x14ac:dyDescent="0.25">
      <c r="B30" t="s">
        <v>40</v>
      </c>
    </row>
    <row r="31" spans="2:14" ht="15.75" thickBot="1" x14ac:dyDescent="0.3"/>
    <row r="32" spans="2:14" x14ac:dyDescent="0.25">
      <c r="B32" s="342" t="s">
        <v>48</v>
      </c>
      <c r="C32" s="68" t="s">
        <v>0</v>
      </c>
      <c r="D32" s="68">
        <v>2020</v>
      </c>
      <c r="E32" s="68">
        <v>2021</v>
      </c>
      <c r="F32" s="68">
        <v>2022</v>
      </c>
      <c r="G32" s="68">
        <v>2023</v>
      </c>
      <c r="H32" s="68">
        <v>2024</v>
      </c>
      <c r="I32" s="68">
        <v>2025</v>
      </c>
      <c r="J32" s="68">
        <v>2026</v>
      </c>
      <c r="K32" s="68">
        <v>2027</v>
      </c>
      <c r="L32" s="68">
        <v>2028</v>
      </c>
      <c r="M32" s="68">
        <v>2029</v>
      </c>
      <c r="N32" s="69">
        <v>2030</v>
      </c>
    </row>
    <row r="33" spans="2:14" x14ac:dyDescent="0.25">
      <c r="B33" s="343"/>
      <c r="C33" s="63" t="s">
        <v>223</v>
      </c>
      <c r="D33" s="232">
        <f>'[4]Proyección ENS'!C9</f>
        <v>40827.050743238593</v>
      </c>
      <c r="E33" s="232">
        <f>'[4]Proyección ENS'!C10</f>
        <v>60170.040951696748</v>
      </c>
      <c r="F33" s="232">
        <f>'[4]Proyección ENS'!C11</f>
        <v>85292.649579752993</v>
      </c>
      <c r="G33" s="232">
        <f>'[4]Proyección ENS'!C12</f>
        <v>117994.88370399433</v>
      </c>
      <c r="H33" s="232">
        <f>'[4]Proyección ENS'!C13</f>
        <v>160657.51620397333</v>
      </c>
      <c r="I33" s="232">
        <f>'[4]Proyección ENS'!C14</f>
        <v>215550.08254067728</v>
      </c>
      <c r="J33" s="232">
        <f>'[4]Proyección ENS'!C15</f>
        <v>283366.87751327362</v>
      </c>
      <c r="K33" s="232">
        <f>'[4]Proyección ENS'!C16</f>
        <v>363358.74490420707</v>
      </c>
      <c r="L33" s="232">
        <f>'[4]Proyección ENS'!C17</f>
        <v>454246.40614506253</v>
      </c>
      <c r="M33" s="232">
        <f>'[4]Proyección ENS'!C18</f>
        <v>554447.52559172083</v>
      </c>
      <c r="N33" s="233">
        <f>'[4]Proyección ENS'!C19</f>
        <v>662487.33493325114</v>
      </c>
    </row>
    <row r="34" spans="2:14" ht="15.75" thickBot="1" x14ac:dyDescent="0.3">
      <c r="B34" s="344"/>
      <c r="C34" s="70" t="s">
        <v>224</v>
      </c>
      <c r="D34" s="234">
        <f t="shared" ref="D34:N34" si="4">D33*$D$4</f>
        <v>81654.101486477186</v>
      </c>
      <c r="E34" s="234">
        <f t="shared" si="4"/>
        <v>120340.0819033935</v>
      </c>
      <c r="F34" s="234">
        <f t="shared" si="4"/>
        <v>170585.29915950599</v>
      </c>
      <c r="G34" s="234">
        <f t="shared" si="4"/>
        <v>235989.76740798866</v>
      </c>
      <c r="H34" s="234">
        <f t="shared" si="4"/>
        <v>321315.03240794665</v>
      </c>
      <c r="I34" s="234">
        <f t="shared" si="4"/>
        <v>431100.16508135456</v>
      </c>
      <c r="J34" s="234">
        <f t="shared" si="4"/>
        <v>566733.75502654724</v>
      </c>
      <c r="K34" s="234">
        <f t="shared" si="4"/>
        <v>726717.48980841413</v>
      </c>
      <c r="L34" s="234">
        <f t="shared" si="4"/>
        <v>908492.81229012506</v>
      </c>
      <c r="M34" s="234">
        <f t="shared" si="4"/>
        <v>1108895.0511834417</v>
      </c>
      <c r="N34" s="235">
        <f t="shared" si="4"/>
        <v>1324974.6698665023</v>
      </c>
    </row>
    <row r="35" spans="2:14" x14ac:dyDescent="0.25">
      <c r="C35" s="53"/>
      <c r="D35" s="54"/>
      <c r="E35" s="54"/>
      <c r="F35" s="54"/>
      <c r="G35" s="54"/>
      <c r="H35" s="54"/>
      <c r="I35" s="54"/>
      <c r="J35" s="54"/>
      <c r="K35" s="54"/>
      <c r="L35" s="54"/>
      <c r="M35" s="54"/>
      <c r="N35" s="54"/>
    </row>
    <row r="37" spans="2:14" x14ac:dyDescent="0.25">
      <c r="D37" s="60"/>
    </row>
    <row r="38" spans="2:14" ht="18.75" x14ac:dyDescent="0.3">
      <c r="B38" s="61" t="s">
        <v>39</v>
      </c>
      <c r="C38" s="10"/>
      <c r="D38" s="10"/>
      <c r="E38" s="10"/>
      <c r="F38" s="10"/>
      <c r="G38" s="10"/>
      <c r="H38" s="10"/>
      <c r="I38" s="10"/>
      <c r="J38" s="10"/>
      <c r="K38" s="10"/>
      <c r="L38" s="10"/>
      <c r="M38" s="10"/>
      <c r="N38" s="10"/>
    </row>
    <row r="41" spans="2:14" ht="15.75" thickBot="1" x14ac:dyDescent="0.3"/>
    <row r="42" spans="2:14" x14ac:dyDescent="0.25">
      <c r="B42" s="71"/>
      <c r="C42" s="68" t="s">
        <v>0</v>
      </c>
      <c r="D42" s="68">
        <v>2020</v>
      </c>
      <c r="E42" s="68">
        <v>2021</v>
      </c>
      <c r="F42" s="68">
        <v>2022</v>
      </c>
      <c r="G42" s="68">
        <v>2023</v>
      </c>
      <c r="H42" s="68">
        <v>2024</v>
      </c>
      <c r="I42" s="68">
        <v>2025</v>
      </c>
      <c r="J42" s="68">
        <v>2026</v>
      </c>
      <c r="K42" s="68">
        <v>2027</v>
      </c>
      <c r="L42" s="68">
        <v>2028</v>
      </c>
      <c r="M42" s="68">
        <v>2029</v>
      </c>
      <c r="N42" s="69">
        <v>2030</v>
      </c>
    </row>
    <row r="43" spans="2:14" x14ac:dyDescent="0.25">
      <c r="B43" s="72"/>
      <c r="C43" s="74"/>
      <c r="D43" s="74"/>
      <c r="E43" s="74"/>
      <c r="F43" s="74"/>
      <c r="G43" s="74"/>
      <c r="H43" s="74"/>
      <c r="I43" s="74"/>
      <c r="J43" s="74"/>
      <c r="K43" s="74"/>
      <c r="L43" s="74"/>
      <c r="M43" s="74"/>
      <c r="N43" s="75"/>
    </row>
    <row r="44" spans="2:14" x14ac:dyDescent="0.25">
      <c r="B44" s="76" t="s">
        <v>36</v>
      </c>
      <c r="C44" s="63" t="s">
        <v>2</v>
      </c>
      <c r="D44" s="345" t="s">
        <v>225</v>
      </c>
      <c r="E44" s="345"/>
      <c r="F44" s="345"/>
      <c r="G44" s="345"/>
      <c r="H44" s="345"/>
      <c r="I44" s="345"/>
      <c r="J44" s="345"/>
      <c r="K44" s="345"/>
      <c r="L44" s="345"/>
      <c r="M44" s="345"/>
      <c r="N44" s="346"/>
    </row>
    <row r="45" spans="2:14" x14ac:dyDescent="0.25">
      <c r="B45" s="77" t="s">
        <v>38</v>
      </c>
      <c r="C45" s="50">
        <f>Confiabilidad!$D$9</f>
        <v>1.0015944740389469E-2</v>
      </c>
      <c r="D45" s="51">
        <f t="shared" ref="D45:N45" si="5">D14+D33</f>
        <v>50841.997216300035</v>
      </c>
      <c r="E45" s="51">
        <f t="shared" si="5"/>
        <v>70815.728030116356</v>
      </c>
      <c r="F45" s="51">
        <f t="shared" si="5"/>
        <v>96608.801261289278</v>
      </c>
      <c r="G45" s="51">
        <f t="shared" si="5"/>
        <v>130023.72580091484</v>
      </c>
      <c r="H45" s="51">
        <f t="shared" si="5"/>
        <v>173443.93390715169</v>
      </c>
      <c r="I45" s="51">
        <f t="shared" si="5"/>
        <v>229141.78790706565</v>
      </c>
      <c r="J45" s="51">
        <f t="shared" si="5"/>
        <v>297814.58750172413</v>
      </c>
      <c r="K45" s="51">
        <f t="shared" si="5"/>
        <v>378716.37062397634</v>
      </c>
      <c r="L45" s="51">
        <f t="shared" si="5"/>
        <v>470571.25402317353</v>
      </c>
      <c r="M45" s="51">
        <f t="shared" si="5"/>
        <v>571800.51120983041</v>
      </c>
      <c r="N45" s="78">
        <f t="shared" si="5"/>
        <v>680933.21033194801</v>
      </c>
    </row>
    <row r="46" spans="2:14" x14ac:dyDescent="0.25">
      <c r="B46" s="79" t="s">
        <v>30</v>
      </c>
      <c r="C46" s="46">
        <f>Confiabilidad!$D$20</f>
        <v>4.3766806189706508E-3</v>
      </c>
      <c r="D46" s="59">
        <f t="shared" ref="D46:N46" si="6">D15+0</f>
        <v>4376.2444047761483</v>
      </c>
      <c r="E46" s="59">
        <f t="shared" si="6"/>
        <v>4651.8599612335338</v>
      </c>
      <c r="F46" s="59">
        <f t="shared" si="6"/>
        <v>4944.8337655251607</v>
      </c>
      <c r="G46" s="59">
        <f t="shared" si="6"/>
        <v>5256.2590388456065</v>
      </c>
      <c r="H46" s="59">
        <f t="shared" si="6"/>
        <v>5587.2978533813093</v>
      </c>
      <c r="I46" s="59">
        <f t="shared" si="6"/>
        <v>5939.1854685410535</v>
      </c>
      <c r="J46" s="59">
        <f t="shared" si="6"/>
        <v>6313.2349402819482</v>
      </c>
      <c r="K46" s="59">
        <f t="shared" si="6"/>
        <v>6710.8420207304225</v>
      </c>
      <c r="L46" s="59">
        <f t="shared" si="6"/>
        <v>7133.4903663809964</v>
      </c>
      <c r="M46" s="59">
        <f t="shared" si="6"/>
        <v>7582.757074307031</v>
      </c>
      <c r="N46" s="80">
        <f t="shared" si="6"/>
        <v>8060.3185670416233</v>
      </c>
    </row>
    <row r="47" spans="2:14" x14ac:dyDescent="0.25">
      <c r="B47" s="81" t="s">
        <v>31</v>
      </c>
      <c r="C47" s="48">
        <f>Confiabilidad!$C$39</f>
        <v>5.0410958904109592E-3</v>
      </c>
      <c r="D47" s="52">
        <f t="shared" ref="D47:N47" si="7">D16+0</f>
        <v>5040.5934553980605</v>
      </c>
      <c r="E47" s="52">
        <f t="shared" si="7"/>
        <v>5358.0496670686825</v>
      </c>
      <c r="F47" s="52">
        <f t="shared" si="7"/>
        <v>5695.4992480161582</v>
      </c>
      <c r="G47" s="52">
        <f t="shared" si="7"/>
        <v>6054.2013791931504</v>
      </c>
      <c r="H47" s="52">
        <f t="shared" si="7"/>
        <v>6435.4945446777565</v>
      </c>
      <c r="I47" s="52">
        <f t="shared" si="7"/>
        <v>6840.801526178614</v>
      </c>
      <c r="J47" s="52">
        <f t="shared" si="7"/>
        <v>7271.6347120935807</v>
      </c>
      <c r="K47" s="52">
        <f t="shared" si="7"/>
        <v>7729.6017409325532</v>
      </c>
      <c r="L47" s="52">
        <f t="shared" si="7"/>
        <v>8216.4115001626433</v>
      </c>
      <c r="M47" s="52">
        <f t="shared" si="7"/>
        <v>8733.8805028601819</v>
      </c>
      <c r="N47" s="82">
        <f t="shared" si="7"/>
        <v>9283.9396659638132</v>
      </c>
    </row>
    <row r="48" spans="2:14" x14ac:dyDescent="0.25">
      <c r="B48" s="83" t="s">
        <v>32</v>
      </c>
      <c r="C48" s="55">
        <f>Confiabilidad!$C$58</f>
        <v>2.8493150684931502E-3</v>
      </c>
      <c r="D48" s="56">
        <f t="shared" ref="D48:N48" si="8">D17+0</f>
        <v>2849.0310834858597</v>
      </c>
      <c r="E48" s="56">
        <f t="shared" si="8"/>
        <v>3028.4628552996896</v>
      </c>
      <c r="F48" s="56">
        <f t="shared" si="8"/>
        <v>3219.1952271395671</v>
      </c>
      <c r="G48" s="56">
        <f t="shared" si="8"/>
        <v>3421.9399099787365</v>
      </c>
      <c r="H48" s="56">
        <f t="shared" si="8"/>
        <v>3637.4534382961224</v>
      </c>
      <c r="I48" s="56">
        <f t="shared" si="8"/>
        <v>3866.5399930574767</v>
      </c>
      <c r="J48" s="56">
        <f t="shared" si="8"/>
        <v>4110.0544024876754</v>
      </c>
      <c r="K48" s="56">
        <f t="shared" si="8"/>
        <v>4368.9053318314427</v>
      </c>
      <c r="L48" s="56">
        <f t="shared" si="8"/>
        <v>4644.0586740049712</v>
      </c>
      <c r="M48" s="56">
        <f t="shared" si="8"/>
        <v>4936.5411537905366</v>
      </c>
      <c r="N48" s="84">
        <f t="shared" si="8"/>
        <v>5247.4441590230235</v>
      </c>
    </row>
    <row r="49" spans="2:14" x14ac:dyDescent="0.25">
      <c r="B49" s="85"/>
      <c r="C49" s="53"/>
      <c r="D49" s="54"/>
      <c r="E49" s="54"/>
      <c r="F49" s="54"/>
      <c r="G49" s="54"/>
      <c r="H49" s="54"/>
      <c r="I49" s="54"/>
      <c r="J49" s="54"/>
      <c r="K49" s="54"/>
      <c r="L49" s="54"/>
      <c r="M49" s="54"/>
      <c r="N49" s="86"/>
    </row>
    <row r="50" spans="2:14" x14ac:dyDescent="0.25">
      <c r="B50" s="72"/>
      <c r="C50" s="74"/>
      <c r="D50" s="74"/>
      <c r="E50" s="74"/>
      <c r="F50" s="74"/>
      <c r="G50" s="74"/>
      <c r="H50" s="74"/>
      <c r="I50" s="74"/>
      <c r="J50" s="74"/>
      <c r="K50" s="74"/>
      <c r="L50" s="74"/>
      <c r="M50" s="74"/>
      <c r="N50" s="75"/>
    </row>
    <row r="51" spans="2:14" x14ac:dyDescent="0.25">
      <c r="B51" s="87" t="s">
        <v>36</v>
      </c>
      <c r="C51" s="64" t="s">
        <v>2</v>
      </c>
      <c r="D51" s="347" t="s">
        <v>226</v>
      </c>
      <c r="E51" s="347"/>
      <c r="F51" s="347"/>
      <c r="G51" s="347"/>
      <c r="H51" s="347"/>
      <c r="I51" s="347"/>
      <c r="J51" s="347"/>
      <c r="K51" s="347"/>
      <c r="L51" s="347"/>
      <c r="M51" s="347"/>
      <c r="N51" s="348"/>
    </row>
    <row r="52" spans="2:14" x14ac:dyDescent="0.25">
      <c r="B52" s="77" t="s">
        <v>38</v>
      </c>
      <c r="C52" s="50">
        <f>Confiabilidad!$D$9</f>
        <v>1.0015944740389469E-2</v>
      </c>
      <c r="D52" s="58">
        <f>D45*$D$4</f>
        <v>101683.99443260007</v>
      </c>
      <c r="E52" s="58">
        <f t="shared" ref="E52:N52" si="9">E45*$D$4</f>
        <v>141631.45606023271</v>
      </c>
      <c r="F52" s="58">
        <f t="shared" si="9"/>
        <v>193217.60252257856</v>
      </c>
      <c r="G52" s="58">
        <f t="shared" si="9"/>
        <v>260047.45160182967</v>
      </c>
      <c r="H52" s="58">
        <f t="shared" si="9"/>
        <v>346887.86781430338</v>
      </c>
      <c r="I52" s="58">
        <f t="shared" si="9"/>
        <v>458283.5758141313</v>
      </c>
      <c r="J52" s="58">
        <f t="shared" si="9"/>
        <v>595629.17500344827</v>
      </c>
      <c r="K52" s="58">
        <f t="shared" si="9"/>
        <v>757432.74124795268</v>
      </c>
      <c r="L52" s="58">
        <f t="shared" si="9"/>
        <v>941142.50804634707</v>
      </c>
      <c r="M52" s="58">
        <f t="shared" si="9"/>
        <v>1143601.0224196608</v>
      </c>
      <c r="N52" s="88">
        <f t="shared" si="9"/>
        <v>1361866.420663896</v>
      </c>
    </row>
    <row r="53" spans="2:14" x14ac:dyDescent="0.25">
      <c r="B53" s="79" t="s">
        <v>30</v>
      </c>
      <c r="C53" s="46">
        <f>Confiabilidad!$D$20</f>
        <v>4.3766806189706508E-3</v>
      </c>
      <c r="D53" s="57">
        <f t="shared" ref="D53:N53" si="10">D46*$D$4</f>
        <v>8752.4888095522965</v>
      </c>
      <c r="E53" s="57">
        <f t="shared" si="10"/>
        <v>9303.7199224670676</v>
      </c>
      <c r="F53" s="57">
        <f t="shared" si="10"/>
        <v>9889.6675310503215</v>
      </c>
      <c r="G53" s="57">
        <f t="shared" si="10"/>
        <v>10512.518077691213</v>
      </c>
      <c r="H53" s="57">
        <f t="shared" si="10"/>
        <v>11174.595706762619</v>
      </c>
      <c r="I53" s="57">
        <f t="shared" si="10"/>
        <v>11878.370937082107</v>
      </c>
      <c r="J53" s="57">
        <f t="shared" si="10"/>
        <v>12626.469880563896</v>
      </c>
      <c r="K53" s="57">
        <f t="shared" si="10"/>
        <v>13421.684041460845</v>
      </c>
      <c r="L53" s="57">
        <f t="shared" si="10"/>
        <v>14266.980732761993</v>
      </c>
      <c r="M53" s="57">
        <f t="shared" si="10"/>
        <v>15165.514148614062</v>
      </c>
      <c r="N53" s="89">
        <f t="shared" si="10"/>
        <v>16120.637134083247</v>
      </c>
    </row>
    <row r="54" spans="2:14" x14ac:dyDescent="0.25">
      <c r="B54" s="81" t="s">
        <v>31</v>
      </c>
      <c r="C54" s="48">
        <f>Confiabilidad!$C$39</f>
        <v>5.0410958904109592E-3</v>
      </c>
      <c r="D54" s="47">
        <f t="shared" ref="D54:N54" si="11">D47*$D$4</f>
        <v>10081.186910796121</v>
      </c>
      <c r="E54" s="47">
        <f t="shared" si="11"/>
        <v>10716.099334137365</v>
      </c>
      <c r="F54" s="47">
        <f t="shared" si="11"/>
        <v>11390.998496032316</v>
      </c>
      <c r="G54" s="47">
        <f t="shared" si="11"/>
        <v>12108.402758386301</v>
      </c>
      <c r="H54" s="47">
        <f t="shared" si="11"/>
        <v>12870.989089355513</v>
      </c>
      <c r="I54" s="47">
        <f t="shared" si="11"/>
        <v>13681.603052357228</v>
      </c>
      <c r="J54" s="47">
        <f t="shared" si="11"/>
        <v>14543.269424187161</v>
      </c>
      <c r="K54" s="47">
        <f t="shared" si="11"/>
        <v>15459.203481865106</v>
      </c>
      <c r="L54" s="47">
        <f t="shared" si="11"/>
        <v>16432.823000325287</v>
      </c>
      <c r="M54" s="47">
        <f t="shared" si="11"/>
        <v>17467.761005720364</v>
      </c>
      <c r="N54" s="90">
        <f t="shared" si="11"/>
        <v>18567.879331927626</v>
      </c>
    </row>
    <row r="55" spans="2:14" ht="15.75" thickBot="1" x14ac:dyDescent="0.3">
      <c r="B55" s="91" t="s">
        <v>32</v>
      </c>
      <c r="C55" s="92">
        <f>Confiabilidad!$C$58</f>
        <v>2.8493150684931502E-3</v>
      </c>
      <c r="D55" s="93">
        <f t="shared" ref="D55:N55" si="12">D48*$D$4</f>
        <v>5698.0621669717193</v>
      </c>
      <c r="E55" s="93">
        <f t="shared" si="12"/>
        <v>6056.9257105993793</v>
      </c>
      <c r="F55" s="93">
        <f t="shared" si="12"/>
        <v>6438.3904542791342</v>
      </c>
      <c r="G55" s="93">
        <f t="shared" si="12"/>
        <v>6843.879819957473</v>
      </c>
      <c r="H55" s="93">
        <f t="shared" si="12"/>
        <v>7274.9068765922448</v>
      </c>
      <c r="I55" s="93">
        <f t="shared" si="12"/>
        <v>7733.0799861149535</v>
      </c>
      <c r="J55" s="93">
        <f t="shared" si="12"/>
        <v>8220.1088049753507</v>
      </c>
      <c r="K55" s="93">
        <f t="shared" si="12"/>
        <v>8737.8106636628854</v>
      </c>
      <c r="L55" s="93">
        <f t="shared" si="12"/>
        <v>9288.1173480099424</v>
      </c>
      <c r="M55" s="93">
        <f t="shared" si="12"/>
        <v>9873.0823075810731</v>
      </c>
      <c r="N55" s="94">
        <f t="shared" si="12"/>
        <v>10494.888318046047</v>
      </c>
    </row>
  </sheetData>
  <mergeCells count="5">
    <mergeCell ref="B32:B34"/>
    <mergeCell ref="D44:N44"/>
    <mergeCell ref="D51:N51"/>
    <mergeCell ref="D13:N13"/>
    <mergeCell ref="D20:N20"/>
  </mergeCell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N59"/>
  <sheetViews>
    <sheetView showGridLines="0" zoomScale="85" zoomScaleNormal="85" workbookViewId="0">
      <selection activeCell="E22" sqref="E22"/>
    </sheetView>
  </sheetViews>
  <sheetFormatPr baseColWidth="10" defaultColWidth="9.140625" defaultRowHeight="15" x14ac:dyDescent="0.25"/>
  <cols>
    <col min="2" max="2" width="32.85546875" customWidth="1"/>
    <col min="3" max="3" width="27" bestFit="1" customWidth="1"/>
    <col min="4" max="12" width="15.5703125" customWidth="1"/>
    <col min="13" max="14" width="17.28515625" customWidth="1"/>
  </cols>
  <sheetData>
    <row r="2" spans="2:14" ht="23.25" x14ac:dyDescent="0.35">
      <c r="B2" s="62" t="s">
        <v>35</v>
      </c>
    </row>
    <row r="3" spans="2:14" s="7" customFormat="1" x14ac:dyDescent="0.25">
      <c r="B3" s="9"/>
    </row>
    <row r="4" spans="2:14" s="7" customFormat="1" x14ac:dyDescent="0.25">
      <c r="B4" s="9"/>
    </row>
    <row r="5" spans="2:14" s="7" customFormat="1" ht="15.75" thickBot="1" x14ac:dyDescent="0.3">
      <c r="B5" s="9"/>
    </row>
    <row r="6" spans="2:14" ht="19.5" thickBot="1" x14ac:dyDescent="0.35">
      <c r="B6" s="61" t="s">
        <v>33</v>
      </c>
      <c r="C6" s="10"/>
      <c r="D6" s="10"/>
      <c r="E6" s="10"/>
      <c r="F6" s="10"/>
      <c r="G6" s="10"/>
      <c r="H6" s="10"/>
      <c r="I6" s="10"/>
      <c r="J6" s="10"/>
      <c r="K6" s="10"/>
      <c r="L6" s="65" t="s">
        <v>1</v>
      </c>
      <c r="M6" s="243">
        <v>2</v>
      </c>
      <c r="N6" s="242" t="s">
        <v>34</v>
      </c>
    </row>
    <row r="7" spans="2:14" ht="15.75" thickBot="1" x14ac:dyDescent="0.3"/>
    <row r="8" spans="2:14" hidden="1" x14ac:dyDescent="0.25"/>
    <row r="9" spans="2:14" ht="15.75" hidden="1" thickBot="1" x14ac:dyDescent="0.3"/>
    <row r="10" spans="2:14" x14ac:dyDescent="0.25">
      <c r="B10" s="71"/>
      <c r="C10" s="68" t="s">
        <v>0</v>
      </c>
      <c r="D10" s="68">
        <v>2020</v>
      </c>
      <c r="E10" s="68">
        <v>2021</v>
      </c>
      <c r="F10" s="68">
        <v>2022</v>
      </c>
      <c r="G10" s="68">
        <v>2023</v>
      </c>
      <c r="H10" s="68">
        <v>2024</v>
      </c>
      <c r="I10" s="68">
        <v>2025</v>
      </c>
      <c r="J10" s="68">
        <v>2026</v>
      </c>
      <c r="K10" s="68">
        <v>2027</v>
      </c>
      <c r="L10" s="68">
        <v>2028</v>
      </c>
      <c r="M10" s="68">
        <v>2029</v>
      </c>
      <c r="N10" s="69">
        <v>2030</v>
      </c>
    </row>
    <row r="11" spans="2:14" x14ac:dyDescent="0.25">
      <c r="B11" s="72"/>
      <c r="C11" s="254" t="s">
        <v>37</v>
      </c>
      <c r="D11" s="255">
        <f>'[3]Energia demandada anual'!E27*1000</f>
        <v>999900.33218494128</v>
      </c>
      <c r="E11" s="255">
        <f>'[3]Energia demandada anual'!E28*1000</f>
        <v>1062873.9828696027</v>
      </c>
      <c r="F11" s="255">
        <f>'[3]Energia demandada anual'!E29*1000</f>
        <v>1129813.7095249444</v>
      </c>
      <c r="G11" s="255">
        <f>'[3]Energia demandada anual'!E30*1000</f>
        <v>1200969.295329076</v>
      </c>
      <c r="H11" s="255">
        <f>'[3]Energia demandada anual'!E31*1000</f>
        <v>1276606.2547866201</v>
      </c>
      <c r="I11" s="255">
        <f>'[3]Energia demandada anual'!E32*1000</f>
        <v>1357006.8244865185</v>
      </c>
      <c r="J11" s="255">
        <f>'[3]Energia demandada anual'!E33*1000</f>
        <v>1442471.016257694</v>
      </c>
      <c r="K11" s="255">
        <f>'[3]Energia demandada anual'!E34*1000</f>
        <v>1533317.7366523815</v>
      </c>
      <c r="L11" s="255">
        <f>'[3]Energia demandada anual'!E35*1000</f>
        <v>1629885.9769344372</v>
      </c>
      <c r="M11" s="255">
        <f>'[3]Energia demandada anual'!E36*1000</f>
        <v>1732536.0780130252</v>
      </c>
      <c r="N11" s="256">
        <f>'[3]Energia demandada anual'!E37*1000</f>
        <v>1841651.0750417346</v>
      </c>
    </row>
    <row r="12" spans="2:14" x14ac:dyDescent="0.25">
      <c r="B12" s="72"/>
      <c r="C12" s="74"/>
      <c r="D12" s="74"/>
      <c r="E12" s="74"/>
      <c r="F12" s="74"/>
      <c r="G12" s="74"/>
      <c r="H12" s="74"/>
      <c r="I12" s="74"/>
      <c r="J12" s="74"/>
      <c r="K12" s="74"/>
      <c r="L12" s="74"/>
      <c r="M12" s="74"/>
      <c r="N12" s="75"/>
    </row>
    <row r="13" spans="2:14" x14ac:dyDescent="0.25">
      <c r="B13" s="76" t="s">
        <v>36</v>
      </c>
      <c r="C13" s="187" t="s">
        <v>2</v>
      </c>
      <c r="D13" s="345" t="s">
        <v>221</v>
      </c>
      <c r="E13" s="345"/>
      <c r="F13" s="345"/>
      <c r="G13" s="345"/>
      <c r="H13" s="345"/>
      <c r="I13" s="345"/>
      <c r="J13" s="345"/>
      <c r="K13" s="345"/>
      <c r="L13" s="345"/>
      <c r="M13" s="345"/>
      <c r="N13" s="346"/>
    </row>
    <row r="14" spans="2:14" x14ac:dyDescent="0.25">
      <c r="B14" s="244" t="s">
        <v>38</v>
      </c>
      <c r="C14" s="245">
        <f>Confiabilidad!$D$9</f>
        <v>1.0015944740389469E-2</v>
      </c>
      <c r="D14" s="257">
        <f>D$11*$C14</f>
        <v>10014.946473061445</v>
      </c>
      <c r="E14" s="257">
        <f t="shared" ref="E14:N14" si="0">E$11*$C14</f>
        <v>10645.687078419603</v>
      </c>
      <c r="F14" s="257">
        <f t="shared" si="0"/>
        <v>11316.151681536283</v>
      </c>
      <c r="G14" s="257">
        <f t="shared" si="0"/>
        <v>12028.842096920505</v>
      </c>
      <c r="H14" s="257">
        <f t="shared" si="0"/>
        <v>12786.417703178347</v>
      </c>
      <c r="I14" s="257">
        <f t="shared" si="0"/>
        <v>13591.70536638836</v>
      </c>
      <c r="J14" s="257">
        <f t="shared" si="0"/>
        <v>14447.709988450502</v>
      </c>
      <c r="K14" s="257">
        <f t="shared" si="0"/>
        <v>15357.625719769305</v>
      </c>
      <c r="L14" s="257">
        <f t="shared" si="0"/>
        <v>16324.847878111028</v>
      </c>
      <c r="M14" s="257">
        <f t="shared" si="0"/>
        <v>17352.98561810956</v>
      </c>
      <c r="N14" s="258">
        <f t="shared" si="0"/>
        <v>18445.875398696873</v>
      </c>
    </row>
    <row r="15" spans="2:14" x14ac:dyDescent="0.25">
      <c r="B15" s="246" t="s">
        <v>30</v>
      </c>
      <c r="C15" s="247">
        <f>Confiabilidad!$D$20</f>
        <v>4.3766806189706508E-3</v>
      </c>
      <c r="D15" s="259">
        <f t="shared" ref="D15:N17" si="1">D$11*$C15</f>
        <v>4376.2444047761483</v>
      </c>
      <c r="E15" s="259">
        <f t="shared" si="1"/>
        <v>4651.8599612335338</v>
      </c>
      <c r="F15" s="259">
        <f t="shared" si="1"/>
        <v>4944.8337655251607</v>
      </c>
      <c r="G15" s="259">
        <f t="shared" si="1"/>
        <v>5256.2590388456065</v>
      </c>
      <c r="H15" s="259">
        <f t="shared" si="1"/>
        <v>5587.2978533813093</v>
      </c>
      <c r="I15" s="259">
        <f t="shared" si="1"/>
        <v>5939.1854685410535</v>
      </c>
      <c r="J15" s="259">
        <f t="shared" si="1"/>
        <v>6313.2349402819482</v>
      </c>
      <c r="K15" s="259">
        <f t="shared" si="1"/>
        <v>6710.8420207304225</v>
      </c>
      <c r="L15" s="259">
        <f t="shared" si="1"/>
        <v>7133.4903663809964</v>
      </c>
      <c r="M15" s="259">
        <f t="shared" si="1"/>
        <v>7582.757074307031</v>
      </c>
      <c r="N15" s="260">
        <f t="shared" si="1"/>
        <v>8060.3185670416233</v>
      </c>
    </row>
    <row r="16" spans="2:14" x14ac:dyDescent="0.25">
      <c r="B16" s="248" t="s">
        <v>31</v>
      </c>
      <c r="C16" s="249">
        <f>Confiabilidad!$C$39</f>
        <v>5.0410958904109592E-3</v>
      </c>
      <c r="D16" s="261">
        <f t="shared" si="1"/>
        <v>5040.5934553980605</v>
      </c>
      <c r="E16" s="261">
        <f t="shared" si="1"/>
        <v>5358.0496670686825</v>
      </c>
      <c r="F16" s="261">
        <f t="shared" si="1"/>
        <v>5695.4992480161582</v>
      </c>
      <c r="G16" s="261">
        <f t="shared" si="1"/>
        <v>6054.2013791931504</v>
      </c>
      <c r="H16" s="261">
        <f t="shared" si="1"/>
        <v>6435.4945446777565</v>
      </c>
      <c r="I16" s="261">
        <f t="shared" si="1"/>
        <v>6840.801526178614</v>
      </c>
      <c r="J16" s="261">
        <f t="shared" si="1"/>
        <v>7271.6347120935807</v>
      </c>
      <c r="K16" s="261">
        <f t="shared" si="1"/>
        <v>7729.6017409325532</v>
      </c>
      <c r="L16" s="261">
        <f t="shared" si="1"/>
        <v>8216.4115001626433</v>
      </c>
      <c r="M16" s="261">
        <f t="shared" si="1"/>
        <v>8733.8805028601819</v>
      </c>
      <c r="N16" s="262">
        <f t="shared" si="1"/>
        <v>9283.9396659638132</v>
      </c>
    </row>
    <row r="17" spans="2:14" x14ac:dyDescent="0.25">
      <c r="B17" s="250" t="s">
        <v>32</v>
      </c>
      <c r="C17" s="251">
        <f>Confiabilidad!$C$58</f>
        <v>2.8493150684931502E-3</v>
      </c>
      <c r="D17" s="263">
        <f t="shared" si="1"/>
        <v>2849.0310834858597</v>
      </c>
      <c r="E17" s="263">
        <f t="shared" si="1"/>
        <v>3028.4628552996896</v>
      </c>
      <c r="F17" s="263">
        <f t="shared" si="1"/>
        <v>3219.1952271395671</v>
      </c>
      <c r="G17" s="263">
        <f t="shared" si="1"/>
        <v>3421.9399099787365</v>
      </c>
      <c r="H17" s="263">
        <f t="shared" si="1"/>
        <v>3637.4534382961224</v>
      </c>
      <c r="I17" s="263">
        <f t="shared" si="1"/>
        <v>3866.5399930574767</v>
      </c>
      <c r="J17" s="263">
        <f t="shared" si="1"/>
        <v>4110.0544024876754</v>
      </c>
      <c r="K17" s="263">
        <f t="shared" si="1"/>
        <v>4368.9053318314427</v>
      </c>
      <c r="L17" s="263">
        <f t="shared" si="1"/>
        <v>4644.0586740049712</v>
      </c>
      <c r="M17" s="263">
        <f t="shared" si="1"/>
        <v>4936.5411537905366</v>
      </c>
      <c r="N17" s="264">
        <f t="shared" si="1"/>
        <v>5247.4441590230235</v>
      </c>
    </row>
    <row r="18" spans="2:14" x14ac:dyDescent="0.25">
      <c r="B18" s="85"/>
      <c r="C18" s="53"/>
      <c r="D18" s="54"/>
      <c r="E18" s="54"/>
      <c r="F18" s="54"/>
      <c r="G18" s="54"/>
      <c r="H18" s="54"/>
      <c r="I18" s="54"/>
      <c r="J18" s="54"/>
      <c r="K18" s="54"/>
      <c r="L18" s="54"/>
      <c r="M18" s="54"/>
      <c r="N18" s="86"/>
    </row>
    <row r="19" spans="2:14" x14ac:dyDescent="0.25">
      <c r="B19" s="72"/>
      <c r="C19" s="74"/>
      <c r="D19" s="74"/>
      <c r="E19" s="74"/>
      <c r="F19" s="74"/>
      <c r="G19" s="74"/>
      <c r="H19" s="74"/>
      <c r="I19" s="74"/>
      <c r="J19" s="74"/>
      <c r="K19" s="74"/>
      <c r="L19" s="74"/>
      <c r="M19" s="74"/>
      <c r="N19" s="75"/>
    </row>
    <row r="20" spans="2:14" x14ac:dyDescent="0.25">
      <c r="B20" s="87" t="s">
        <v>36</v>
      </c>
      <c r="C20" s="188" t="s">
        <v>2</v>
      </c>
      <c r="D20" s="347" t="s">
        <v>222</v>
      </c>
      <c r="E20" s="347"/>
      <c r="F20" s="347"/>
      <c r="G20" s="347"/>
      <c r="H20" s="347"/>
      <c r="I20" s="347"/>
      <c r="J20" s="347"/>
      <c r="K20" s="347"/>
      <c r="L20" s="347"/>
      <c r="M20" s="347"/>
      <c r="N20" s="348"/>
    </row>
    <row r="21" spans="2:14" x14ac:dyDescent="0.25">
      <c r="B21" s="244" t="s">
        <v>38</v>
      </c>
      <c r="C21" s="245">
        <f>Confiabilidad!$D$9</f>
        <v>1.0015944740389469E-2</v>
      </c>
      <c r="D21" s="265">
        <f t="shared" ref="D21:N21" si="2">D14*$M$6</f>
        <v>20029.892946122891</v>
      </c>
      <c r="E21" s="265">
        <f t="shared" si="2"/>
        <v>21291.374156839207</v>
      </c>
      <c r="F21" s="265">
        <f t="shared" si="2"/>
        <v>22632.303363072566</v>
      </c>
      <c r="G21" s="265">
        <f t="shared" si="2"/>
        <v>24057.684193841011</v>
      </c>
      <c r="H21" s="265">
        <f t="shared" si="2"/>
        <v>25572.835406356695</v>
      </c>
      <c r="I21" s="265">
        <f t="shared" si="2"/>
        <v>27183.41073277672</v>
      </c>
      <c r="J21" s="265">
        <f t="shared" si="2"/>
        <v>28895.419976901005</v>
      </c>
      <c r="K21" s="265">
        <f t="shared" si="2"/>
        <v>30715.25143953861</v>
      </c>
      <c r="L21" s="265">
        <f t="shared" si="2"/>
        <v>32649.695756222056</v>
      </c>
      <c r="M21" s="265">
        <f t="shared" si="2"/>
        <v>34705.97123621912</v>
      </c>
      <c r="N21" s="266">
        <f t="shared" si="2"/>
        <v>36891.750797393746</v>
      </c>
    </row>
    <row r="22" spans="2:14" x14ac:dyDescent="0.25">
      <c r="B22" s="246" t="s">
        <v>30</v>
      </c>
      <c r="C22" s="247">
        <f>Confiabilidad!$D$20</f>
        <v>4.3766806189706508E-3</v>
      </c>
      <c r="D22" s="267">
        <f t="shared" ref="D22:N22" si="3">D15*$M$6</f>
        <v>8752.4888095522965</v>
      </c>
      <c r="E22" s="267">
        <f t="shared" si="3"/>
        <v>9303.7199224670676</v>
      </c>
      <c r="F22" s="267">
        <f t="shared" si="3"/>
        <v>9889.6675310503215</v>
      </c>
      <c r="G22" s="267">
        <f t="shared" si="3"/>
        <v>10512.518077691213</v>
      </c>
      <c r="H22" s="267">
        <f t="shared" si="3"/>
        <v>11174.595706762619</v>
      </c>
      <c r="I22" s="267">
        <f t="shared" si="3"/>
        <v>11878.370937082107</v>
      </c>
      <c r="J22" s="267">
        <f t="shared" si="3"/>
        <v>12626.469880563896</v>
      </c>
      <c r="K22" s="267">
        <f t="shared" si="3"/>
        <v>13421.684041460845</v>
      </c>
      <c r="L22" s="267">
        <f t="shared" si="3"/>
        <v>14266.980732761993</v>
      </c>
      <c r="M22" s="267">
        <f t="shared" si="3"/>
        <v>15165.514148614062</v>
      </c>
      <c r="N22" s="268">
        <f t="shared" si="3"/>
        <v>16120.637134083247</v>
      </c>
    </row>
    <row r="23" spans="2:14" x14ac:dyDescent="0.25">
      <c r="B23" s="248" t="s">
        <v>31</v>
      </c>
      <c r="C23" s="249">
        <f>Confiabilidad!$C$39</f>
        <v>5.0410958904109592E-3</v>
      </c>
      <c r="D23" s="269">
        <f t="shared" ref="D23:N23" si="4">D16*$M$6</f>
        <v>10081.186910796121</v>
      </c>
      <c r="E23" s="269">
        <f t="shared" si="4"/>
        <v>10716.099334137365</v>
      </c>
      <c r="F23" s="269">
        <f t="shared" si="4"/>
        <v>11390.998496032316</v>
      </c>
      <c r="G23" s="269">
        <f t="shared" si="4"/>
        <v>12108.402758386301</v>
      </c>
      <c r="H23" s="269">
        <f t="shared" si="4"/>
        <v>12870.989089355513</v>
      </c>
      <c r="I23" s="269">
        <f t="shared" si="4"/>
        <v>13681.603052357228</v>
      </c>
      <c r="J23" s="269">
        <f t="shared" si="4"/>
        <v>14543.269424187161</v>
      </c>
      <c r="K23" s="269">
        <f t="shared" si="4"/>
        <v>15459.203481865106</v>
      </c>
      <c r="L23" s="269">
        <f t="shared" si="4"/>
        <v>16432.823000325287</v>
      </c>
      <c r="M23" s="269">
        <f t="shared" si="4"/>
        <v>17467.761005720364</v>
      </c>
      <c r="N23" s="270">
        <f t="shared" si="4"/>
        <v>18567.879331927626</v>
      </c>
    </row>
    <row r="24" spans="2:14" ht="15.75" thickBot="1" x14ac:dyDescent="0.3">
      <c r="B24" s="252" t="s">
        <v>32</v>
      </c>
      <c r="C24" s="253">
        <f>Confiabilidad!$C$58</f>
        <v>2.8493150684931502E-3</v>
      </c>
      <c r="D24" s="271">
        <f t="shared" ref="D24:N24" si="5">D17*$M$6</f>
        <v>5698.0621669717193</v>
      </c>
      <c r="E24" s="271">
        <f t="shared" si="5"/>
        <v>6056.9257105993793</v>
      </c>
      <c r="F24" s="271">
        <f t="shared" si="5"/>
        <v>6438.3904542791342</v>
      </c>
      <c r="G24" s="271">
        <f t="shared" si="5"/>
        <v>6843.879819957473</v>
      </c>
      <c r="H24" s="271">
        <f t="shared" si="5"/>
        <v>7274.9068765922448</v>
      </c>
      <c r="I24" s="271">
        <f t="shared" si="5"/>
        <v>7733.0799861149535</v>
      </c>
      <c r="J24" s="271">
        <f t="shared" si="5"/>
        <v>8220.1088049753507</v>
      </c>
      <c r="K24" s="271">
        <f t="shared" si="5"/>
        <v>8737.8106636628854</v>
      </c>
      <c r="L24" s="271">
        <f t="shared" si="5"/>
        <v>9288.1173480099424</v>
      </c>
      <c r="M24" s="271">
        <f t="shared" si="5"/>
        <v>9873.0823075810731</v>
      </c>
      <c r="N24" s="272">
        <f t="shared" si="5"/>
        <v>10494.888318046047</v>
      </c>
    </row>
    <row r="26" spans="2:14" hidden="1" x14ac:dyDescent="0.25"/>
    <row r="28" spans="2:14" ht="18.75" x14ac:dyDescent="0.3">
      <c r="B28" s="61" t="s">
        <v>230</v>
      </c>
      <c r="C28" s="10"/>
      <c r="D28" s="10"/>
      <c r="E28" s="10"/>
      <c r="F28" s="10"/>
      <c r="G28" s="10"/>
      <c r="H28" s="10"/>
      <c r="I28" s="10"/>
      <c r="J28" s="10"/>
      <c r="K28" s="10"/>
      <c r="L28" s="10"/>
      <c r="M28" s="10"/>
      <c r="N28" s="10"/>
    </row>
    <row r="29" spans="2:14" ht="15.75" thickBot="1" x14ac:dyDescent="0.3"/>
    <row r="30" spans="2:14" hidden="1" x14ac:dyDescent="0.25">
      <c r="B30" t="s">
        <v>227</v>
      </c>
    </row>
    <row r="31" spans="2:14" ht="15.75" hidden="1" thickBot="1" x14ac:dyDescent="0.3"/>
    <row r="32" spans="2:14" ht="15" customHeight="1" x14ac:dyDescent="0.25">
      <c r="B32" s="349" t="s">
        <v>38</v>
      </c>
      <c r="C32" s="238" t="s">
        <v>0</v>
      </c>
      <c r="D32" s="68">
        <v>2020</v>
      </c>
      <c r="E32" s="68">
        <v>2021</v>
      </c>
      <c r="F32" s="68">
        <v>2022</v>
      </c>
      <c r="G32" s="68">
        <v>2023</v>
      </c>
      <c r="H32" s="68">
        <v>2024</v>
      </c>
      <c r="I32" s="68">
        <v>2025</v>
      </c>
      <c r="J32" s="68">
        <v>2026</v>
      </c>
      <c r="K32" s="68">
        <v>2027</v>
      </c>
      <c r="L32" s="68">
        <v>2028</v>
      </c>
      <c r="M32" s="68">
        <v>2029</v>
      </c>
      <c r="N32" s="69">
        <v>2030</v>
      </c>
    </row>
    <row r="33" spans="2:14" x14ac:dyDescent="0.25">
      <c r="B33" s="350"/>
      <c r="C33" s="273"/>
      <c r="D33" s="352" t="s">
        <v>231</v>
      </c>
      <c r="E33" s="352"/>
      <c r="F33" s="352"/>
      <c r="G33" s="352"/>
      <c r="H33" s="352"/>
      <c r="I33" s="352"/>
      <c r="J33" s="352"/>
      <c r="K33" s="352"/>
      <c r="L33" s="352"/>
      <c r="M33" s="352"/>
      <c r="N33" s="353"/>
    </row>
    <row r="34" spans="2:14" ht="15.75" thickBot="1" x14ac:dyDescent="0.3">
      <c r="B34" s="350"/>
      <c r="C34" s="274"/>
      <c r="D34" s="275">
        <f>'[4]Proyección ENS'!C9</f>
        <v>40827.050743238593</v>
      </c>
      <c r="E34" s="275">
        <f>'[4]Proyección ENS'!C10</f>
        <v>60170.040951696748</v>
      </c>
      <c r="F34" s="275">
        <f>'[4]Proyección ENS'!C11</f>
        <v>85292.649579752993</v>
      </c>
      <c r="G34" s="275">
        <f>'[4]Proyección ENS'!C12</f>
        <v>117994.88370399433</v>
      </c>
      <c r="H34" s="275">
        <f>'[4]Proyección ENS'!C13</f>
        <v>160657.51620397333</v>
      </c>
      <c r="I34" s="275">
        <f>'[4]Proyección ENS'!C14</f>
        <v>215550.08254067728</v>
      </c>
      <c r="J34" s="275">
        <f>'[4]Proyección ENS'!C15</f>
        <v>283366.87751327362</v>
      </c>
      <c r="K34" s="275">
        <f>'[4]Proyección ENS'!C16</f>
        <v>363358.74490420707</v>
      </c>
      <c r="L34" s="275">
        <f>'[4]Proyección ENS'!C17</f>
        <v>454246.40614506253</v>
      </c>
      <c r="M34" s="275">
        <f>'[4]Proyección ENS'!C18</f>
        <v>554447.52559172083</v>
      </c>
      <c r="N34" s="276">
        <f>'[4]Proyección ENS'!C19</f>
        <v>662487.33493325114</v>
      </c>
    </row>
    <row r="35" spans="2:14" x14ac:dyDescent="0.25">
      <c r="B35" s="350"/>
      <c r="C35" s="236"/>
      <c r="D35" s="277"/>
      <c r="E35" s="277"/>
      <c r="F35" s="277"/>
      <c r="G35" s="277"/>
      <c r="H35" s="277"/>
      <c r="I35" s="277"/>
      <c r="J35" s="277"/>
      <c r="K35" s="277"/>
      <c r="L35" s="277"/>
      <c r="M35" s="277"/>
      <c r="N35" s="277"/>
    </row>
    <row r="36" spans="2:14" ht="15.75" thickBot="1" x14ac:dyDescent="0.3">
      <c r="B36" s="350"/>
      <c r="C36" s="237"/>
      <c r="D36" s="278"/>
      <c r="E36" s="278"/>
      <c r="F36" s="278"/>
      <c r="G36" s="278"/>
      <c r="H36" s="278"/>
      <c r="I36" s="278"/>
      <c r="J36" s="278"/>
      <c r="K36" s="278"/>
      <c r="L36" s="278"/>
      <c r="M36" s="278"/>
      <c r="N36" s="278"/>
    </row>
    <row r="37" spans="2:14" x14ac:dyDescent="0.25">
      <c r="B37" s="350"/>
      <c r="C37" s="239" t="s">
        <v>2</v>
      </c>
      <c r="D37" s="354" t="s">
        <v>232</v>
      </c>
      <c r="E37" s="355"/>
      <c r="F37" s="355"/>
      <c r="G37" s="355"/>
      <c r="H37" s="355"/>
      <c r="I37" s="355"/>
      <c r="J37" s="355"/>
      <c r="K37" s="355"/>
      <c r="L37" s="355"/>
      <c r="M37" s="355"/>
      <c r="N37" s="356"/>
    </row>
    <row r="38" spans="2:14" ht="15.75" thickBot="1" x14ac:dyDescent="0.3">
      <c r="B38" s="351"/>
      <c r="C38" s="274" t="s">
        <v>224</v>
      </c>
      <c r="D38" s="279">
        <f t="shared" ref="D38:N38" si="6">D34*$M$6</f>
        <v>81654.101486477186</v>
      </c>
      <c r="E38" s="279">
        <f t="shared" si="6"/>
        <v>120340.0819033935</v>
      </c>
      <c r="F38" s="279">
        <f t="shared" si="6"/>
        <v>170585.29915950599</v>
      </c>
      <c r="G38" s="279">
        <f t="shared" si="6"/>
        <v>235989.76740798866</v>
      </c>
      <c r="H38" s="279">
        <f t="shared" si="6"/>
        <v>321315.03240794665</v>
      </c>
      <c r="I38" s="279">
        <f t="shared" si="6"/>
        <v>431100.16508135456</v>
      </c>
      <c r="J38" s="279">
        <f t="shared" si="6"/>
        <v>566733.75502654724</v>
      </c>
      <c r="K38" s="279">
        <f t="shared" si="6"/>
        <v>726717.48980841413</v>
      </c>
      <c r="L38" s="279">
        <f t="shared" si="6"/>
        <v>908492.81229012506</v>
      </c>
      <c r="M38" s="279">
        <f t="shared" si="6"/>
        <v>1108895.0511834417</v>
      </c>
      <c r="N38" s="280">
        <f t="shared" si="6"/>
        <v>1324974.6698665023</v>
      </c>
    </row>
    <row r="39" spans="2:14" x14ac:dyDescent="0.25">
      <c r="C39" s="53"/>
      <c r="D39" s="54"/>
      <c r="E39" s="54"/>
      <c r="F39" s="54"/>
      <c r="G39" s="54"/>
      <c r="H39" s="54"/>
      <c r="I39" s="54"/>
      <c r="J39" s="54"/>
      <c r="K39" s="54"/>
      <c r="L39" s="54"/>
      <c r="M39" s="54"/>
      <c r="N39" s="54"/>
    </row>
    <row r="40" spans="2:14" hidden="1" x14ac:dyDescent="0.25"/>
    <row r="41" spans="2:14" x14ac:dyDescent="0.25">
      <c r="D41" s="60"/>
    </row>
    <row r="42" spans="2:14" ht="18.75" x14ac:dyDescent="0.3">
      <c r="B42" s="61" t="s">
        <v>39</v>
      </c>
      <c r="C42" s="10"/>
      <c r="D42" s="10"/>
      <c r="E42" s="10"/>
      <c r="F42" s="10"/>
      <c r="G42" s="10"/>
      <c r="H42" s="10"/>
      <c r="I42" s="10"/>
      <c r="J42" s="10"/>
      <c r="K42" s="10"/>
      <c r="L42" s="10"/>
      <c r="M42" s="10"/>
      <c r="N42" s="10"/>
    </row>
    <row r="43" spans="2:14" ht="15.75" thickBot="1" x14ac:dyDescent="0.3"/>
    <row r="44" spans="2:14" hidden="1" x14ac:dyDescent="0.25"/>
    <row r="45" spans="2:14" ht="15.75" hidden="1" thickBot="1" x14ac:dyDescent="0.3"/>
    <row r="46" spans="2:14" x14ac:dyDescent="0.25">
      <c r="B46" s="71"/>
      <c r="C46" s="68" t="s">
        <v>0</v>
      </c>
      <c r="D46" s="68">
        <v>2020</v>
      </c>
      <c r="E46" s="68">
        <v>2021</v>
      </c>
      <c r="F46" s="68">
        <v>2022</v>
      </c>
      <c r="G46" s="68">
        <v>2023</v>
      </c>
      <c r="H46" s="68">
        <v>2024</v>
      </c>
      <c r="I46" s="68">
        <v>2025</v>
      </c>
      <c r="J46" s="68">
        <v>2026</v>
      </c>
      <c r="K46" s="68">
        <v>2027</v>
      </c>
      <c r="L46" s="68">
        <v>2028</v>
      </c>
      <c r="M46" s="68">
        <v>2029</v>
      </c>
      <c r="N46" s="69">
        <v>2030</v>
      </c>
    </row>
    <row r="47" spans="2:14" x14ac:dyDescent="0.25">
      <c r="B47" s="72"/>
      <c r="C47" s="74"/>
      <c r="D47" s="74"/>
      <c r="E47" s="74"/>
      <c r="F47" s="74"/>
      <c r="G47" s="74"/>
      <c r="H47" s="74"/>
      <c r="I47" s="74"/>
      <c r="J47" s="74"/>
      <c r="K47" s="74"/>
      <c r="L47" s="74"/>
      <c r="M47" s="74"/>
      <c r="N47" s="75"/>
    </row>
    <row r="48" spans="2:14" x14ac:dyDescent="0.25">
      <c r="B48" s="76" t="s">
        <v>36</v>
      </c>
      <c r="C48" s="187" t="s">
        <v>2</v>
      </c>
      <c r="D48" s="345" t="s">
        <v>225</v>
      </c>
      <c r="E48" s="345"/>
      <c r="F48" s="345"/>
      <c r="G48" s="345"/>
      <c r="H48" s="345"/>
      <c r="I48" s="345"/>
      <c r="J48" s="345"/>
      <c r="K48" s="345"/>
      <c r="L48" s="345"/>
      <c r="M48" s="345"/>
      <c r="N48" s="346"/>
    </row>
    <row r="49" spans="2:14" x14ac:dyDescent="0.25">
      <c r="B49" s="244" t="s">
        <v>38</v>
      </c>
      <c r="C49" s="245">
        <f>Confiabilidad!$D$9</f>
        <v>1.0015944740389469E-2</v>
      </c>
      <c r="D49" s="257">
        <f t="shared" ref="D49:N49" si="7">D14+D34</f>
        <v>50841.997216300035</v>
      </c>
      <c r="E49" s="257">
        <f t="shared" si="7"/>
        <v>70815.728030116356</v>
      </c>
      <c r="F49" s="257">
        <f t="shared" si="7"/>
        <v>96608.801261289278</v>
      </c>
      <c r="G49" s="257">
        <f t="shared" si="7"/>
        <v>130023.72580091484</v>
      </c>
      <c r="H49" s="257">
        <f t="shared" si="7"/>
        <v>173443.93390715169</v>
      </c>
      <c r="I49" s="257">
        <f t="shared" si="7"/>
        <v>229141.78790706565</v>
      </c>
      <c r="J49" s="257">
        <f t="shared" si="7"/>
        <v>297814.58750172413</v>
      </c>
      <c r="K49" s="257">
        <f t="shared" si="7"/>
        <v>378716.37062397634</v>
      </c>
      <c r="L49" s="257">
        <f t="shared" si="7"/>
        <v>470571.25402317353</v>
      </c>
      <c r="M49" s="257">
        <f t="shared" si="7"/>
        <v>571800.51120983041</v>
      </c>
      <c r="N49" s="258">
        <f t="shared" si="7"/>
        <v>680933.21033194801</v>
      </c>
    </row>
    <row r="50" spans="2:14" x14ac:dyDescent="0.25">
      <c r="B50" s="281" t="s">
        <v>30</v>
      </c>
      <c r="C50" s="282">
        <f>Confiabilidad!$D$20</f>
        <v>4.3766806189706508E-3</v>
      </c>
      <c r="D50" s="283">
        <f t="shared" ref="D50:N50" si="8">D15+0</f>
        <v>4376.2444047761483</v>
      </c>
      <c r="E50" s="283">
        <f t="shared" si="8"/>
        <v>4651.8599612335338</v>
      </c>
      <c r="F50" s="283">
        <f t="shared" si="8"/>
        <v>4944.8337655251607</v>
      </c>
      <c r="G50" s="283">
        <f t="shared" si="8"/>
        <v>5256.2590388456065</v>
      </c>
      <c r="H50" s="283">
        <f t="shared" si="8"/>
        <v>5587.2978533813093</v>
      </c>
      <c r="I50" s="283">
        <f t="shared" si="8"/>
        <v>5939.1854685410535</v>
      </c>
      <c r="J50" s="283">
        <f t="shared" si="8"/>
        <v>6313.2349402819482</v>
      </c>
      <c r="K50" s="283">
        <f t="shared" si="8"/>
        <v>6710.8420207304225</v>
      </c>
      <c r="L50" s="283">
        <f t="shared" si="8"/>
        <v>7133.4903663809964</v>
      </c>
      <c r="M50" s="283">
        <f t="shared" si="8"/>
        <v>7582.757074307031</v>
      </c>
      <c r="N50" s="284">
        <f t="shared" si="8"/>
        <v>8060.3185670416233</v>
      </c>
    </row>
    <row r="51" spans="2:14" x14ac:dyDescent="0.25">
      <c r="B51" s="248" t="s">
        <v>31</v>
      </c>
      <c r="C51" s="249">
        <f>Confiabilidad!$C$39</f>
        <v>5.0410958904109592E-3</v>
      </c>
      <c r="D51" s="261">
        <f t="shared" ref="D51:N51" si="9">D16+0</f>
        <v>5040.5934553980605</v>
      </c>
      <c r="E51" s="261">
        <f t="shared" si="9"/>
        <v>5358.0496670686825</v>
      </c>
      <c r="F51" s="261">
        <f t="shared" si="9"/>
        <v>5695.4992480161582</v>
      </c>
      <c r="G51" s="261">
        <f t="shared" si="9"/>
        <v>6054.2013791931504</v>
      </c>
      <c r="H51" s="261">
        <f t="shared" si="9"/>
        <v>6435.4945446777565</v>
      </c>
      <c r="I51" s="261">
        <f t="shared" si="9"/>
        <v>6840.801526178614</v>
      </c>
      <c r="J51" s="261">
        <f t="shared" si="9"/>
        <v>7271.6347120935807</v>
      </c>
      <c r="K51" s="261">
        <f t="shared" si="9"/>
        <v>7729.6017409325532</v>
      </c>
      <c r="L51" s="261">
        <f t="shared" si="9"/>
        <v>8216.4115001626433</v>
      </c>
      <c r="M51" s="261">
        <f t="shared" si="9"/>
        <v>8733.8805028601819</v>
      </c>
      <c r="N51" s="262">
        <f t="shared" si="9"/>
        <v>9283.9396659638132</v>
      </c>
    </row>
    <row r="52" spans="2:14" x14ac:dyDescent="0.25">
      <c r="B52" s="250" t="s">
        <v>32</v>
      </c>
      <c r="C52" s="251">
        <f>Confiabilidad!$C$58</f>
        <v>2.8493150684931502E-3</v>
      </c>
      <c r="D52" s="263">
        <f t="shared" ref="D52:N52" si="10">D17+0</f>
        <v>2849.0310834858597</v>
      </c>
      <c r="E52" s="263">
        <f t="shared" si="10"/>
        <v>3028.4628552996896</v>
      </c>
      <c r="F52" s="263">
        <f t="shared" si="10"/>
        <v>3219.1952271395671</v>
      </c>
      <c r="G52" s="263">
        <f t="shared" si="10"/>
        <v>3421.9399099787365</v>
      </c>
      <c r="H52" s="263">
        <f t="shared" si="10"/>
        <v>3637.4534382961224</v>
      </c>
      <c r="I52" s="263">
        <f t="shared" si="10"/>
        <v>3866.5399930574767</v>
      </c>
      <c r="J52" s="263">
        <f t="shared" si="10"/>
        <v>4110.0544024876754</v>
      </c>
      <c r="K52" s="263">
        <f t="shared" si="10"/>
        <v>4368.9053318314427</v>
      </c>
      <c r="L52" s="263">
        <f t="shared" si="10"/>
        <v>4644.0586740049712</v>
      </c>
      <c r="M52" s="263">
        <f t="shared" si="10"/>
        <v>4936.5411537905366</v>
      </c>
      <c r="N52" s="264">
        <f t="shared" si="10"/>
        <v>5247.4441590230235</v>
      </c>
    </row>
    <row r="53" spans="2:14" x14ac:dyDescent="0.25">
      <c r="B53" s="85"/>
      <c r="C53" s="53"/>
      <c r="D53" s="54"/>
      <c r="E53" s="54"/>
      <c r="F53" s="54"/>
      <c r="G53" s="54"/>
      <c r="H53" s="54"/>
      <c r="I53" s="54"/>
      <c r="J53" s="54"/>
      <c r="K53" s="54"/>
      <c r="L53" s="54"/>
      <c r="M53" s="54"/>
      <c r="N53" s="86"/>
    </row>
    <row r="54" spans="2:14" x14ac:dyDescent="0.25">
      <c r="B54" s="72"/>
      <c r="C54" s="74"/>
      <c r="D54" s="74"/>
      <c r="E54" s="74"/>
      <c r="F54" s="74"/>
      <c r="G54" s="74"/>
      <c r="H54" s="74"/>
      <c r="I54" s="74"/>
      <c r="J54" s="74"/>
      <c r="K54" s="74"/>
      <c r="L54" s="74"/>
      <c r="M54" s="74"/>
      <c r="N54" s="75"/>
    </row>
    <row r="55" spans="2:14" x14ac:dyDescent="0.25">
      <c r="B55" s="87" t="s">
        <v>36</v>
      </c>
      <c r="C55" s="188" t="s">
        <v>2</v>
      </c>
      <c r="D55" s="347" t="s">
        <v>226</v>
      </c>
      <c r="E55" s="347"/>
      <c r="F55" s="347"/>
      <c r="G55" s="347"/>
      <c r="H55" s="347"/>
      <c r="I55" s="347"/>
      <c r="J55" s="347"/>
      <c r="K55" s="347"/>
      <c r="L55" s="347"/>
      <c r="M55" s="347"/>
      <c r="N55" s="348"/>
    </row>
    <row r="56" spans="2:14" x14ac:dyDescent="0.25">
      <c r="B56" s="244" t="s">
        <v>38</v>
      </c>
      <c r="C56" s="245">
        <f>Confiabilidad!$D$9</f>
        <v>1.0015944740389469E-2</v>
      </c>
      <c r="D56" s="265">
        <f t="shared" ref="D56:N56" si="11">D49*$M$6</f>
        <v>101683.99443260007</v>
      </c>
      <c r="E56" s="265">
        <f t="shared" si="11"/>
        <v>141631.45606023271</v>
      </c>
      <c r="F56" s="265">
        <f t="shared" si="11"/>
        <v>193217.60252257856</v>
      </c>
      <c r="G56" s="265">
        <f t="shared" si="11"/>
        <v>260047.45160182967</v>
      </c>
      <c r="H56" s="265">
        <f t="shared" si="11"/>
        <v>346887.86781430338</v>
      </c>
      <c r="I56" s="265">
        <f t="shared" si="11"/>
        <v>458283.5758141313</v>
      </c>
      <c r="J56" s="265">
        <f t="shared" si="11"/>
        <v>595629.17500344827</v>
      </c>
      <c r="K56" s="265">
        <f t="shared" si="11"/>
        <v>757432.74124795268</v>
      </c>
      <c r="L56" s="265">
        <f t="shared" si="11"/>
        <v>941142.50804634707</v>
      </c>
      <c r="M56" s="265">
        <f t="shared" si="11"/>
        <v>1143601.0224196608</v>
      </c>
      <c r="N56" s="266">
        <f t="shared" si="11"/>
        <v>1361866.420663896</v>
      </c>
    </row>
    <row r="57" spans="2:14" x14ac:dyDescent="0.25">
      <c r="B57" s="281" t="s">
        <v>30</v>
      </c>
      <c r="C57" s="282">
        <f>Confiabilidad!$D$20</f>
        <v>4.3766806189706508E-3</v>
      </c>
      <c r="D57" s="285">
        <f t="shared" ref="D57:N57" si="12">D50*$M$6</f>
        <v>8752.4888095522965</v>
      </c>
      <c r="E57" s="285">
        <f t="shared" si="12"/>
        <v>9303.7199224670676</v>
      </c>
      <c r="F57" s="285">
        <f t="shared" si="12"/>
        <v>9889.6675310503215</v>
      </c>
      <c r="G57" s="285">
        <f t="shared" si="12"/>
        <v>10512.518077691213</v>
      </c>
      <c r="H57" s="285">
        <f t="shared" si="12"/>
        <v>11174.595706762619</v>
      </c>
      <c r="I57" s="285">
        <f t="shared" si="12"/>
        <v>11878.370937082107</v>
      </c>
      <c r="J57" s="285">
        <f t="shared" si="12"/>
        <v>12626.469880563896</v>
      </c>
      <c r="K57" s="285">
        <f t="shared" si="12"/>
        <v>13421.684041460845</v>
      </c>
      <c r="L57" s="285">
        <f t="shared" si="12"/>
        <v>14266.980732761993</v>
      </c>
      <c r="M57" s="285">
        <f t="shared" si="12"/>
        <v>15165.514148614062</v>
      </c>
      <c r="N57" s="286">
        <f t="shared" si="12"/>
        <v>16120.637134083247</v>
      </c>
    </row>
    <row r="58" spans="2:14" x14ac:dyDescent="0.25">
      <c r="B58" s="248" t="s">
        <v>31</v>
      </c>
      <c r="C58" s="249">
        <f>Confiabilidad!$C$39</f>
        <v>5.0410958904109592E-3</v>
      </c>
      <c r="D58" s="269">
        <f t="shared" ref="D58:N58" si="13">D51*$M$6</f>
        <v>10081.186910796121</v>
      </c>
      <c r="E58" s="269">
        <f t="shared" si="13"/>
        <v>10716.099334137365</v>
      </c>
      <c r="F58" s="269">
        <f t="shared" si="13"/>
        <v>11390.998496032316</v>
      </c>
      <c r="G58" s="269">
        <f t="shared" si="13"/>
        <v>12108.402758386301</v>
      </c>
      <c r="H58" s="269">
        <f t="shared" si="13"/>
        <v>12870.989089355513</v>
      </c>
      <c r="I58" s="269">
        <f t="shared" si="13"/>
        <v>13681.603052357228</v>
      </c>
      <c r="J58" s="269">
        <f t="shared" si="13"/>
        <v>14543.269424187161</v>
      </c>
      <c r="K58" s="269">
        <f t="shared" si="13"/>
        <v>15459.203481865106</v>
      </c>
      <c r="L58" s="269">
        <f t="shared" si="13"/>
        <v>16432.823000325287</v>
      </c>
      <c r="M58" s="269">
        <f t="shared" si="13"/>
        <v>17467.761005720364</v>
      </c>
      <c r="N58" s="270">
        <f t="shared" si="13"/>
        <v>18567.879331927626</v>
      </c>
    </row>
    <row r="59" spans="2:14" ht="15.75" thickBot="1" x14ac:dyDescent="0.3">
      <c r="B59" s="252" t="s">
        <v>32</v>
      </c>
      <c r="C59" s="253">
        <f>Confiabilidad!$C$58</f>
        <v>2.8493150684931502E-3</v>
      </c>
      <c r="D59" s="271">
        <f t="shared" ref="D59:N59" si="14">D52*$M$6</f>
        <v>5698.0621669717193</v>
      </c>
      <c r="E59" s="271">
        <f t="shared" si="14"/>
        <v>6056.9257105993793</v>
      </c>
      <c r="F59" s="271">
        <f t="shared" si="14"/>
        <v>6438.3904542791342</v>
      </c>
      <c r="G59" s="271">
        <f t="shared" si="14"/>
        <v>6843.879819957473</v>
      </c>
      <c r="H59" s="271">
        <f t="shared" si="14"/>
        <v>7274.9068765922448</v>
      </c>
      <c r="I59" s="271">
        <f t="shared" si="14"/>
        <v>7733.0799861149535</v>
      </c>
      <c r="J59" s="271">
        <f t="shared" si="14"/>
        <v>8220.1088049753507</v>
      </c>
      <c r="K59" s="271">
        <f t="shared" si="14"/>
        <v>8737.8106636628854</v>
      </c>
      <c r="L59" s="271">
        <f t="shared" si="14"/>
        <v>9288.1173480099424</v>
      </c>
      <c r="M59" s="271">
        <f t="shared" si="14"/>
        <v>9873.0823075810731</v>
      </c>
      <c r="N59" s="272">
        <f t="shared" si="14"/>
        <v>10494.888318046047</v>
      </c>
    </row>
  </sheetData>
  <mergeCells count="7">
    <mergeCell ref="B32:B38"/>
    <mergeCell ref="D13:N13"/>
    <mergeCell ref="D20:N20"/>
    <mergeCell ref="D48:N48"/>
    <mergeCell ref="D55:N55"/>
    <mergeCell ref="D33:N33"/>
    <mergeCell ref="D37:N37"/>
  </mergeCell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63"/>
  <sheetViews>
    <sheetView showGridLines="0" zoomScale="85" zoomScaleNormal="85" workbookViewId="0">
      <selection activeCell="H54" sqref="H54"/>
    </sheetView>
  </sheetViews>
  <sheetFormatPr baseColWidth="10" defaultColWidth="9.140625" defaultRowHeight="15" x14ac:dyDescent="0.25"/>
  <cols>
    <col min="2" max="2" width="19.42578125" customWidth="1"/>
    <col min="3" max="3" width="52.85546875" customWidth="1"/>
    <col min="4" max="4" width="19" customWidth="1"/>
    <col min="5" max="5" width="20.140625" customWidth="1"/>
    <col min="6" max="6" width="8" customWidth="1"/>
    <col min="7" max="7" width="15.7109375" customWidth="1"/>
    <col min="8" max="8" width="23" customWidth="1"/>
    <col min="9" max="9" width="46.28515625" customWidth="1"/>
    <col min="10" max="10" width="15.5703125" customWidth="1"/>
    <col min="15" max="15" width="19.42578125" customWidth="1"/>
    <col min="16" max="16" width="77.5703125" bestFit="1" customWidth="1"/>
    <col min="17" max="17" width="16.140625" bestFit="1" customWidth="1"/>
    <col min="18" max="18" width="9.5703125" bestFit="1" customWidth="1"/>
    <col min="19" max="19" width="10.7109375" bestFit="1" customWidth="1"/>
    <col min="20" max="20" width="11.5703125" bestFit="1" customWidth="1"/>
  </cols>
  <sheetData>
    <row r="1" spans="2:11" x14ac:dyDescent="0.25">
      <c r="G1" s="129"/>
      <c r="H1" s="129"/>
    </row>
    <row r="2" spans="2:11" ht="18.75" x14ac:dyDescent="0.3">
      <c r="B2" s="130" t="s">
        <v>188</v>
      </c>
      <c r="C2" s="130"/>
      <c r="D2" s="130"/>
      <c r="E2" s="130"/>
      <c r="F2" s="130"/>
      <c r="G2" s="130"/>
    </row>
    <row r="4" spans="2:11" ht="30" thickBot="1" x14ac:dyDescent="0.3">
      <c r="B4" s="368" t="s">
        <v>103</v>
      </c>
      <c r="C4" s="368"/>
      <c r="D4" s="368"/>
      <c r="E4" s="368"/>
      <c r="F4" s="368"/>
      <c r="G4" s="368"/>
      <c r="I4" s="369" t="s">
        <v>171</v>
      </c>
      <c r="J4" s="369"/>
      <c r="K4" s="369"/>
    </row>
    <row r="5" spans="2:11" ht="15.75" thickBot="1" x14ac:dyDescent="0.3">
      <c r="B5" s="141" t="s">
        <v>104</v>
      </c>
      <c r="C5" s="142" t="s">
        <v>105</v>
      </c>
      <c r="D5" s="142"/>
      <c r="E5" s="142" t="s">
        <v>106</v>
      </c>
      <c r="F5" s="142" t="s">
        <v>107</v>
      </c>
      <c r="G5" s="142" t="s">
        <v>46</v>
      </c>
      <c r="H5" s="131"/>
    </row>
    <row r="6" spans="2:11" x14ac:dyDescent="0.25">
      <c r="B6" s="202" t="s">
        <v>108</v>
      </c>
      <c r="C6" s="203" t="s">
        <v>189</v>
      </c>
      <c r="D6" s="204"/>
      <c r="E6" s="145">
        <f>'PRE Alternativa 1'!J16</f>
        <v>33822.18</v>
      </c>
      <c r="F6" s="205">
        <v>1</v>
      </c>
      <c r="G6" s="145">
        <f>F6*E6</f>
        <v>33822.18</v>
      </c>
      <c r="I6" s="357" t="s">
        <v>182</v>
      </c>
      <c r="J6" s="358"/>
      <c r="K6" s="359"/>
    </row>
    <row r="7" spans="2:11" x14ac:dyDescent="0.25">
      <c r="B7" s="202" t="s">
        <v>109</v>
      </c>
      <c r="C7" s="206" t="s">
        <v>190</v>
      </c>
      <c r="D7" s="204"/>
      <c r="E7" s="145">
        <f>'PRE Alternativa 1'!J32</f>
        <v>275673</v>
      </c>
      <c r="F7" s="207">
        <v>1</v>
      </c>
      <c r="G7" s="145">
        <f>E7*F7</f>
        <v>275673</v>
      </c>
      <c r="I7" s="167" t="s">
        <v>179</v>
      </c>
      <c r="J7" s="168">
        <v>30520</v>
      </c>
      <c r="K7" s="169"/>
    </row>
    <row r="8" spans="2:11" ht="15.75" thickBot="1" x14ac:dyDescent="0.3">
      <c r="I8" s="72" t="s">
        <v>165</v>
      </c>
      <c r="J8" s="132"/>
      <c r="K8" s="75"/>
    </row>
    <row r="9" spans="2:11" ht="15.75" thickBot="1" x14ac:dyDescent="0.3">
      <c r="E9" s="370" t="s">
        <v>204</v>
      </c>
      <c r="F9" s="371"/>
      <c r="G9" s="135">
        <f>SUM(G6:G7)</f>
        <v>309495.18</v>
      </c>
      <c r="I9" s="72" t="s">
        <v>110</v>
      </c>
      <c r="J9" s="74">
        <v>2280</v>
      </c>
      <c r="K9" s="133" t="s">
        <v>6</v>
      </c>
    </row>
    <row r="10" spans="2:11" x14ac:dyDescent="0.25">
      <c r="B10" s="134" t="s">
        <v>111</v>
      </c>
      <c r="I10" s="72" t="s">
        <v>112</v>
      </c>
      <c r="J10" s="74">
        <f>750*3*1.2/1000</f>
        <v>2.7</v>
      </c>
      <c r="K10" s="133" t="s">
        <v>174</v>
      </c>
    </row>
    <row r="11" spans="2:11" x14ac:dyDescent="0.25">
      <c r="I11" s="72" t="s">
        <v>166</v>
      </c>
      <c r="J11" s="74">
        <v>0.25</v>
      </c>
      <c r="K11" s="133" t="s">
        <v>175</v>
      </c>
    </row>
    <row r="12" spans="2:11" ht="30" thickBot="1" x14ac:dyDescent="0.3">
      <c r="B12" s="368" t="s">
        <v>113</v>
      </c>
      <c r="C12" s="368"/>
      <c r="D12" s="368"/>
      <c r="E12" s="368"/>
      <c r="F12" s="368"/>
      <c r="G12" s="368"/>
      <c r="I12" s="136" t="s">
        <v>164</v>
      </c>
      <c r="J12" s="132">
        <f>J7*0.5%</f>
        <v>152.6</v>
      </c>
      <c r="K12" s="137"/>
    </row>
    <row r="13" spans="2:11" ht="15.75" thickBot="1" x14ac:dyDescent="0.3">
      <c r="B13" s="141" t="s">
        <v>114</v>
      </c>
      <c r="C13" s="142" t="s">
        <v>105</v>
      </c>
      <c r="D13" s="142" t="s">
        <v>115</v>
      </c>
      <c r="E13" s="142" t="s">
        <v>106</v>
      </c>
      <c r="F13" s="142" t="s">
        <v>116</v>
      </c>
      <c r="G13" s="142" t="s">
        <v>46</v>
      </c>
      <c r="I13" s="72" t="s">
        <v>167</v>
      </c>
      <c r="J13" s="132">
        <f>J9*J10*J11</f>
        <v>1539</v>
      </c>
      <c r="K13" s="137"/>
    </row>
    <row r="14" spans="2:11" x14ac:dyDescent="0.25">
      <c r="B14" s="202" t="s">
        <v>117</v>
      </c>
      <c r="C14" s="203" t="s">
        <v>118</v>
      </c>
      <c r="D14" s="144" t="s">
        <v>119</v>
      </c>
      <c r="E14" s="145">
        <v>4.5620753715498932</v>
      </c>
      <c r="F14" s="144">
        <v>6</v>
      </c>
      <c r="G14" s="145">
        <f t="shared" ref="G14:G28" si="0">F14*E14</f>
        <v>27.372452229299359</v>
      </c>
      <c r="I14" s="167" t="s">
        <v>177</v>
      </c>
      <c r="J14" s="168">
        <f>J7+J13+J12</f>
        <v>32211.599999999999</v>
      </c>
      <c r="K14" s="169"/>
    </row>
    <row r="15" spans="2:11" x14ac:dyDescent="0.25">
      <c r="B15" s="202" t="s">
        <v>120</v>
      </c>
      <c r="C15" s="203" t="s">
        <v>121</v>
      </c>
      <c r="D15" s="144" t="s">
        <v>119</v>
      </c>
      <c r="E15" s="145">
        <v>13.044555686393451</v>
      </c>
      <c r="F15" s="144">
        <v>6</v>
      </c>
      <c r="G15" s="145">
        <f t="shared" si="0"/>
        <v>78.267334118360708</v>
      </c>
      <c r="I15" s="72" t="s">
        <v>163</v>
      </c>
      <c r="J15" s="132">
        <f>5%*J14</f>
        <v>1610.58</v>
      </c>
      <c r="K15" s="75"/>
    </row>
    <row r="16" spans="2:11" ht="15.75" thickBot="1" x14ac:dyDescent="0.3">
      <c r="B16" s="202" t="s">
        <v>122</v>
      </c>
      <c r="C16" s="203" t="s">
        <v>123</v>
      </c>
      <c r="D16" s="144" t="s">
        <v>119</v>
      </c>
      <c r="E16" s="145">
        <v>28.02417728237792</v>
      </c>
      <c r="F16" s="144">
        <v>24</v>
      </c>
      <c r="G16" s="145">
        <f t="shared" si="0"/>
        <v>672.58025477707008</v>
      </c>
      <c r="I16" s="171" t="s">
        <v>180</v>
      </c>
      <c r="J16" s="172">
        <f>J14+J15</f>
        <v>33822.18</v>
      </c>
      <c r="K16" s="173"/>
    </row>
    <row r="17" spans="2:11" x14ac:dyDescent="0.25">
      <c r="B17" s="202" t="s">
        <v>124</v>
      </c>
      <c r="C17" s="203" t="s">
        <v>125</v>
      </c>
      <c r="D17" s="144" t="s">
        <v>119</v>
      </c>
      <c r="E17" s="145">
        <v>9700.6767515923566</v>
      </c>
      <c r="F17" s="144">
        <v>1</v>
      </c>
      <c r="G17" s="145">
        <f t="shared" si="0"/>
        <v>9700.6767515923566</v>
      </c>
      <c r="I17" s="174"/>
      <c r="J17" s="140"/>
      <c r="K17" s="174"/>
    </row>
    <row r="18" spans="2:11" ht="30" x14ac:dyDescent="0.25">
      <c r="B18" s="208" t="s">
        <v>126</v>
      </c>
      <c r="C18" s="209" t="s">
        <v>127</v>
      </c>
      <c r="D18" s="195" t="s">
        <v>119</v>
      </c>
      <c r="E18" s="196">
        <v>633.98904554977833</v>
      </c>
      <c r="F18" s="195">
        <v>1</v>
      </c>
      <c r="G18" s="196">
        <f t="shared" si="0"/>
        <v>633.98904554977833</v>
      </c>
      <c r="I18" s="175" t="s">
        <v>185</v>
      </c>
      <c r="J18" s="140"/>
      <c r="K18" s="174"/>
    </row>
    <row r="19" spans="2:11" ht="15.75" thickBot="1" x14ac:dyDescent="0.3">
      <c r="B19" s="202" t="s">
        <v>128</v>
      </c>
      <c r="C19" s="203" t="s">
        <v>129</v>
      </c>
      <c r="D19" s="144" t="s">
        <v>119</v>
      </c>
      <c r="E19" s="145">
        <v>14.162486730360934</v>
      </c>
      <c r="F19" s="144">
        <v>3</v>
      </c>
      <c r="G19" s="145">
        <f t="shared" si="0"/>
        <v>42.487460191082803</v>
      </c>
    </row>
    <row r="20" spans="2:11" x14ac:dyDescent="0.25">
      <c r="B20" s="202" t="s">
        <v>130</v>
      </c>
      <c r="C20" s="203" t="s">
        <v>131</v>
      </c>
      <c r="D20" s="144" t="s">
        <v>119</v>
      </c>
      <c r="E20" s="145">
        <v>65.082266454352435</v>
      </c>
      <c r="F20" s="144">
        <v>3</v>
      </c>
      <c r="G20" s="145">
        <f t="shared" si="0"/>
        <v>195.24679936305731</v>
      </c>
      <c r="I20" s="357" t="s">
        <v>183</v>
      </c>
      <c r="J20" s="358"/>
      <c r="K20" s="359"/>
    </row>
    <row r="21" spans="2:11" x14ac:dyDescent="0.25">
      <c r="B21" s="202" t="s">
        <v>132</v>
      </c>
      <c r="C21" s="203" t="s">
        <v>133</v>
      </c>
      <c r="D21" s="144" t="s">
        <v>119</v>
      </c>
      <c r="E21" s="145">
        <v>935.9774416135881</v>
      </c>
      <c r="F21" s="144">
        <v>1</v>
      </c>
      <c r="G21" s="145">
        <f t="shared" si="0"/>
        <v>935.9774416135881</v>
      </c>
      <c r="I21" s="167" t="s">
        <v>176</v>
      </c>
      <c r="J21" s="168">
        <f>325*700</f>
        <v>227500</v>
      </c>
      <c r="K21" s="169"/>
    </row>
    <row r="22" spans="2:11" x14ac:dyDescent="0.25">
      <c r="B22" s="202" t="s">
        <v>134</v>
      </c>
      <c r="C22" s="203" t="s">
        <v>135</v>
      </c>
      <c r="D22" s="144" t="s">
        <v>119</v>
      </c>
      <c r="E22" s="145">
        <v>2922.7361995753718</v>
      </c>
      <c r="F22" s="144">
        <v>1</v>
      </c>
      <c r="G22" s="145">
        <f t="shared" si="0"/>
        <v>2922.7361995753718</v>
      </c>
      <c r="I22" s="136" t="s">
        <v>181</v>
      </c>
      <c r="J22" s="140"/>
      <c r="K22" s="170"/>
    </row>
    <row r="23" spans="2:11" x14ac:dyDescent="0.25">
      <c r="B23" s="202"/>
      <c r="C23" s="203" t="s">
        <v>136</v>
      </c>
      <c r="D23" s="144" t="s">
        <v>119</v>
      </c>
      <c r="E23" s="145">
        <f>185.490976645435*3</f>
        <v>556.47292993630504</v>
      </c>
      <c r="F23" s="144">
        <v>6</v>
      </c>
      <c r="G23" s="145">
        <f t="shared" si="0"/>
        <v>3338.8375796178302</v>
      </c>
      <c r="I23" s="136" t="s">
        <v>143</v>
      </c>
      <c r="J23" s="166">
        <v>7</v>
      </c>
      <c r="K23" s="133" t="s">
        <v>174</v>
      </c>
    </row>
    <row r="24" spans="2:11" x14ac:dyDescent="0.25">
      <c r="B24" s="202" t="s">
        <v>137</v>
      </c>
      <c r="C24" s="203" t="s">
        <v>138</v>
      </c>
      <c r="D24" s="144" t="s">
        <v>119</v>
      </c>
      <c r="E24" s="145">
        <v>1669.9201167728238</v>
      </c>
      <c r="F24" s="144">
        <v>1</v>
      </c>
      <c r="G24" s="145">
        <f t="shared" si="0"/>
        <v>1669.9201167728238</v>
      </c>
      <c r="I24" s="72" t="s">
        <v>173</v>
      </c>
      <c r="J24" s="138" t="s">
        <v>146</v>
      </c>
      <c r="K24" s="133"/>
    </row>
    <row r="25" spans="2:11" x14ac:dyDescent="0.25">
      <c r="B25" s="202" t="s">
        <v>139</v>
      </c>
      <c r="C25" s="203" t="s">
        <v>140</v>
      </c>
      <c r="D25" s="144" t="s">
        <v>119</v>
      </c>
      <c r="E25" s="145">
        <v>9785.9023354564761</v>
      </c>
      <c r="F25" s="144">
        <v>1</v>
      </c>
      <c r="G25" s="145">
        <f t="shared" si="0"/>
        <v>9785.9023354564761</v>
      </c>
      <c r="I25" s="72" t="s">
        <v>168</v>
      </c>
      <c r="J25" s="132">
        <v>740</v>
      </c>
      <c r="K25" s="133"/>
    </row>
    <row r="26" spans="2:11" x14ac:dyDescent="0.25">
      <c r="B26" s="202" t="s">
        <v>141</v>
      </c>
      <c r="C26" s="203" t="s">
        <v>142</v>
      </c>
      <c r="D26" s="144" t="s">
        <v>119</v>
      </c>
      <c r="E26" s="145">
        <v>757.0043322131271</v>
      </c>
      <c r="F26" s="144">
        <v>1</v>
      </c>
      <c r="G26" s="145">
        <f t="shared" si="0"/>
        <v>757.0043322131271</v>
      </c>
      <c r="I26" s="72" t="s">
        <v>164</v>
      </c>
      <c r="J26" s="132">
        <f>J21*0.5%</f>
        <v>1137.5</v>
      </c>
      <c r="K26" s="133"/>
    </row>
    <row r="27" spans="2:11" x14ac:dyDescent="0.25">
      <c r="B27" s="202" t="s">
        <v>144</v>
      </c>
      <c r="C27" s="203" t="s">
        <v>145</v>
      </c>
      <c r="D27" s="144" t="s">
        <v>119</v>
      </c>
      <c r="E27" s="145">
        <v>759.5103503184713</v>
      </c>
      <c r="F27" s="144">
        <v>1</v>
      </c>
      <c r="G27" s="145">
        <f t="shared" si="0"/>
        <v>759.5103503184713</v>
      </c>
      <c r="I27" s="72" t="s">
        <v>169</v>
      </c>
      <c r="J27" s="139">
        <v>460</v>
      </c>
      <c r="K27" s="137" t="s">
        <v>6</v>
      </c>
    </row>
    <row r="28" spans="2:11" ht="15" customHeight="1" x14ac:dyDescent="0.25">
      <c r="B28" s="202" t="s">
        <v>147</v>
      </c>
      <c r="C28" s="203" t="s">
        <v>148</v>
      </c>
      <c r="D28" s="144" t="s">
        <v>149</v>
      </c>
      <c r="E28" s="145">
        <v>9.5007655956439834</v>
      </c>
      <c r="F28" s="144">
        <v>200</v>
      </c>
      <c r="G28" s="145">
        <f t="shared" si="0"/>
        <v>1900.1531191287968</v>
      </c>
      <c r="I28" s="72"/>
      <c r="J28" s="132"/>
      <c r="K28" s="137"/>
    </row>
    <row r="29" spans="2:11" ht="15.75" customHeight="1" thickBot="1" x14ac:dyDescent="0.3">
      <c r="I29" s="167" t="s">
        <v>178</v>
      </c>
      <c r="J29" s="168">
        <f>J21+J25+J26</f>
        <v>229377.5</v>
      </c>
      <c r="K29" s="169"/>
    </row>
    <row r="30" spans="2:11" ht="15.75" thickBot="1" x14ac:dyDescent="0.3">
      <c r="B30" s="5" t="s">
        <v>191</v>
      </c>
      <c r="E30" s="370" t="s">
        <v>205</v>
      </c>
      <c r="F30" s="371"/>
      <c r="G30" s="135">
        <f>SUM(G14:G28)</f>
        <v>33420.661572517492</v>
      </c>
      <c r="I30" s="72" t="s">
        <v>172</v>
      </c>
      <c r="J30" s="132">
        <f>J29*20%</f>
        <v>45875.5</v>
      </c>
      <c r="K30" s="75"/>
    </row>
    <row r="31" spans="2:11" ht="15.75" thickBot="1" x14ac:dyDescent="0.3">
      <c r="B31" s="5" t="s">
        <v>192</v>
      </c>
      <c r="I31" s="136" t="s">
        <v>170</v>
      </c>
      <c r="J31" s="132">
        <f>600*0.1*J23</f>
        <v>420</v>
      </c>
      <c r="K31" s="75"/>
    </row>
    <row r="32" spans="2:11" ht="15.75" thickBot="1" x14ac:dyDescent="0.3">
      <c r="E32" s="372" t="s">
        <v>206</v>
      </c>
      <c r="F32" s="373"/>
      <c r="G32" s="105">
        <f>G30+G9</f>
        <v>342915.84157251747</v>
      </c>
      <c r="I32" s="171" t="s">
        <v>180</v>
      </c>
      <c r="J32" s="172">
        <f>J29+J30+J31</f>
        <v>275673</v>
      </c>
      <c r="K32" s="173"/>
    </row>
    <row r="33" spans="2:11" x14ac:dyDescent="0.25">
      <c r="I33" s="174"/>
      <c r="J33" s="140"/>
      <c r="K33" s="174"/>
    </row>
    <row r="34" spans="2:11" x14ac:dyDescent="0.25">
      <c r="I34" s="175" t="s">
        <v>185</v>
      </c>
      <c r="J34" s="140"/>
      <c r="K34" s="174"/>
    </row>
    <row r="35" spans="2:11" ht="27" thickBot="1" x14ac:dyDescent="0.3">
      <c r="B35" s="367" t="s">
        <v>150</v>
      </c>
      <c r="C35" s="367"/>
      <c r="D35" s="367"/>
      <c r="E35" s="367"/>
      <c r="F35" s="367"/>
      <c r="G35" s="367"/>
    </row>
    <row r="36" spans="2:11" ht="15.75" thickBot="1" x14ac:dyDescent="0.3">
      <c r="B36" s="141"/>
      <c r="C36" s="142" t="s">
        <v>151</v>
      </c>
      <c r="D36" s="142" t="s">
        <v>115</v>
      </c>
      <c r="E36" s="142" t="s">
        <v>106</v>
      </c>
      <c r="F36" s="142" t="s">
        <v>116</v>
      </c>
      <c r="G36" s="211" t="s">
        <v>46</v>
      </c>
      <c r="I36" s="357" t="s">
        <v>184</v>
      </c>
      <c r="J36" s="358"/>
      <c r="K36" s="359"/>
    </row>
    <row r="37" spans="2:11" x14ac:dyDescent="0.25">
      <c r="B37" s="143"/>
      <c r="C37" s="143" t="s">
        <v>152</v>
      </c>
      <c r="D37" s="144" t="s">
        <v>59</v>
      </c>
      <c r="E37" s="145">
        <f>'Obra A1'!$H$8</f>
        <v>147387.70684952044</v>
      </c>
      <c r="F37" s="144">
        <v>1</v>
      </c>
      <c r="G37" s="145">
        <f t="shared" ref="G37:G38" si="1">F37*E37</f>
        <v>147387.70684952044</v>
      </c>
      <c r="I37" s="167" t="s">
        <v>176</v>
      </c>
      <c r="J37" s="168">
        <f>130*700</f>
        <v>91000</v>
      </c>
      <c r="K37" s="169"/>
    </row>
    <row r="38" spans="2:11" x14ac:dyDescent="0.25">
      <c r="B38" s="146"/>
      <c r="C38" s="146" t="s">
        <v>153</v>
      </c>
      <c r="D38" s="144" t="s">
        <v>59</v>
      </c>
      <c r="E38" s="145">
        <f>'Obra A1'!$H$21</f>
        <v>114451.00991550447</v>
      </c>
      <c r="F38" s="144">
        <v>1</v>
      </c>
      <c r="G38" s="145">
        <f t="shared" si="1"/>
        <v>114451.00991550447</v>
      </c>
      <c r="I38" s="136" t="s">
        <v>181</v>
      </c>
      <c r="J38" s="140"/>
      <c r="K38" s="170"/>
    </row>
    <row r="39" spans="2:11" ht="15.75" thickBot="1" x14ac:dyDescent="0.3">
      <c r="I39" s="136" t="s">
        <v>143</v>
      </c>
      <c r="J39" s="166">
        <v>2</v>
      </c>
      <c r="K39" s="133" t="s">
        <v>174</v>
      </c>
    </row>
    <row r="40" spans="2:11" ht="15.75" thickBot="1" x14ac:dyDescent="0.3">
      <c r="E40" s="362" t="s">
        <v>207</v>
      </c>
      <c r="F40" s="363"/>
      <c r="G40" s="154">
        <f>SUM(G37:G38)</f>
        <v>261838.71676502493</v>
      </c>
      <c r="I40" s="72" t="s">
        <v>173</v>
      </c>
      <c r="J40" s="138" t="s">
        <v>77</v>
      </c>
      <c r="K40" s="133"/>
    </row>
    <row r="41" spans="2:11" ht="15.75" thickBot="1" x14ac:dyDescent="0.3">
      <c r="I41" s="72" t="s">
        <v>168</v>
      </c>
      <c r="J41" s="132">
        <v>300</v>
      </c>
      <c r="K41" s="133"/>
    </row>
    <row r="42" spans="2:11" ht="15.75" thickBot="1" x14ac:dyDescent="0.3">
      <c r="D42" s="147" t="s">
        <v>208</v>
      </c>
      <c r="E42" s="148"/>
      <c r="F42" s="148"/>
      <c r="G42" s="149">
        <f>G32+G40</f>
        <v>604754.55833754246</v>
      </c>
      <c r="I42" s="72" t="s">
        <v>164</v>
      </c>
      <c r="J42" s="132">
        <f>J37*0.5%</f>
        <v>455</v>
      </c>
      <c r="K42" s="133"/>
    </row>
    <row r="43" spans="2:11" x14ac:dyDescent="0.25">
      <c r="I43" s="72" t="s">
        <v>169</v>
      </c>
      <c r="J43" s="139">
        <v>460</v>
      </c>
      <c r="K43" s="137" t="s">
        <v>6</v>
      </c>
    </row>
    <row r="44" spans="2:11" x14ac:dyDescent="0.25">
      <c r="I44" s="72"/>
      <c r="J44" s="132"/>
      <c r="K44" s="137"/>
    </row>
    <row r="45" spans="2:11" x14ac:dyDescent="0.25">
      <c r="I45" s="167" t="s">
        <v>177</v>
      </c>
      <c r="J45" s="168">
        <f>J37+J41+J42</f>
        <v>91755</v>
      </c>
      <c r="K45" s="169"/>
    </row>
    <row r="46" spans="2:11" x14ac:dyDescent="0.25">
      <c r="I46" s="72" t="s">
        <v>172</v>
      </c>
      <c r="J46" s="132">
        <f>J45*40%</f>
        <v>36702</v>
      </c>
      <c r="K46" s="75"/>
    </row>
    <row r="47" spans="2:11" x14ac:dyDescent="0.25">
      <c r="I47" s="136" t="s">
        <v>170</v>
      </c>
      <c r="J47" s="132">
        <f>600*0.1*J39</f>
        <v>120</v>
      </c>
      <c r="K47" s="75"/>
    </row>
    <row r="48" spans="2:11" ht="15.75" thickBot="1" x14ac:dyDescent="0.3">
      <c r="I48" s="171" t="s">
        <v>180</v>
      </c>
      <c r="J48" s="172">
        <f>J45+J46+J47</f>
        <v>128577</v>
      </c>
      <c r="K48" s="173"/>
    </row>
    <row r="49" spans="2:9" ht="18.75" x14ac:dyDescent="0.3">
      <c r="B49" s="130" t="s">
        <v>161</v>
      </c>
      <c r="C49" s="130"/>
      <c r="D49" s="130"/>
      <c r="E49" s="130"/>
      <c r="F49" s="130"/>
      <c r="G49" s="130"/>
    </row>
    <row r="50" spans="2:9" x14ac:dyDescent="0.25">
      <c r="I50" s="175" t="s">
        <v>185</v>
      </c>
    </row>
    <row r="51" spans="2:9" ht="27" thickBot="1" x14ac:dyDescent="0.3">
      <c r="B51" s="364" t="s">
        <v>162</v>
      </c>
      <c r="C51" s="364"/>
      <c r="D51" s="364"/>
      <c r="E51" s="364"/>
      <c r="F51" s="364"/>
      <c r="G51" s="364"/>
    </row>
    <row r="52" spans="2:9" ht="15.75" thickBot="1" x14ac:dyDescent="0.3">
      <c r="B52" s="365" t="s">
        <v>155</v>
      </c>
      <c r="C52" s="366"/>
      <c r="D52" s="142" t="s">
        <v>115</v>
      </c>
      <c r="E52" s="142" t="s">
        <v>106</v>
      </c>
      <c r="F52" s="142" t="s">
        <v>116</v>
      </c>
      <c r="G52" s="211" t="s">
        <v>46</v>
      </c>
      <c r="I52" t="s">
        <v>154</v>
      </c>
    </row>
    <row r="53" spans="2:9" ht="30" customHeight="1" x14ac:dyDescent="0.25">
      <c r="B53" s="360" t="s">
        <v>156</v>
      </c>
      <c r="C53" s="361"/>
      <c r="D53" s="195" t="s">
        <v>71</v>
      </c>
      <c r="E53" s="196">
        <v>35000</v>
      </c>
      <c r="F53" s="195">
        <v>1</v>
      </c>
      <c r="G53" s="197">
        <f t="shared" ref="G53" si="2">F53*E53</f>
        <v>35000</v>
      </c>
    </row>
    <row r="54" spans="2:9" ht="15.75" thickBot="1" x14ac:dyDescent="0.3"/>
    <row r="55" spans="2:9" ht="15.75" thickBot="1" x14ac:dyDescent="0.3">
      <c r="D55" s="147" t="s">
        <v>157</v>
      </c>
      <c r="E55" s="148"/>
      <c r="F55" s="148"/>
      <c r="G55" s="149">
        <f>G42+G53</f>
        <v>639754.55833754246</v>
      </c>
    </row>
    <row r="59" spans="2:9" ht="27" thickBot="1" x14ac:dyDescent="0.3">
      <c r="B59" s="364" t="s">
        <v>158</v>
      </c>
      <c r="C59" s="364"/>
      <c r="D59" s="364"/>
      <c r="E59" s="364"/>
      <c r="F59" s="364"/>
      <c r="G59" s="364"/>
    </row>
    <row r="60" spans="2:9" ht="15.75" thickBot="1" x14ac:dyDescent="0.3">
      <c r="B60" s="365" t="s">
        <v>155</v>
      </c>
      <c r="C60" s="366"/>
      <c r="D60" s="142" t="s">
        <v>115</v>
      </c>
      <c r="E60" s="142" t="s">
        <v>106</v>
      </c>
      <c r="F60" s="142" t="s">
        <v>116</v>
      </c>
      <c r="G60" s="211" t="s">
        <v>46</v>
      </c>
    </row>
    <row r="61" spans="2:9" ht="30" customHeight="1" x14ac:dyDescent="0.25">
      <c r="B61" s="360" t="s">
        <v>159</v>
      </c>
      <c r="C61" s="361"/>
      <c r="D61" s="195" t="s">
        <v>71</v>
      </c>
      <c r="E61" s="196">
        <v>5000</v>
      </c>
      <c r="F61" s="195">
        <v>1</v>
      </c>
      <c r="G61" s="197">
        <f t="shared" ref="G61" si="3">F61*E61</f>
        <v>5000</v>
      </c>
    </row>
    <row r="62" spans="2:9" ht="15.75" thickBot="1" x14ac:dyDescent="0.3"/>
    <row r="63" spans="2:9" ht="15.75" thickBot="1" x14ac:dyDescent="0.3">
      <c r="D63" s="147" t="s">
        <v>160</v>
      </c>
      <c r="E63" s="148"/>
      <c r="F63" s="148"/>
      <c r="G63" s="149">
        <f>G42+G61</f>
        <v>609754.55833754246</v>
      </c>
    </row>
  </sheetData>
  <mergeCells count="17">
    <mergeCell ref="B35:G35"/>
    <mergeCell ref="B4:G4"/>
    <mergeCell ref="I4:K4"/>
    <mergeCell ref="I6:K6"/>
    <mergeCell ref="E9:F9"/>
    <mergeCell ref="B12:G12"/>
    <mergeCell ref="I20:K20"/>
    <mergeCell ref="E30:F30"/>
    <mergeCell ref="E32:F32"/>
    <mergeCell ref="I36:K36"/>
    <mergeCell ref="B61:C61"/>
    <mergeCell ref="E40:F40"/>
    <mergeCell ref="B51:G51"/>
    <mergeCell ref="B52:C52"/>
    <mergeCell ref="B53:C53"/>
    <mergeCell ref="B59:G59"/>
    <mergeCell ref="B60:C60"/>
  </mergeCells>
  <pageMargins left="0.70866141732283472" right="0.70866141732283472" top="0.74803149606299213" bottom="0.74803149606299213" header="0.31496062992125984" footer="0.31496062992125984"/>
  <pageSetup paperSize="9" scale="57"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5"/>
  <sheetViews>
    <sheetView showGridLines="0" zoomScale="70" zoomScaleNormal="70" workbookViewId="0">
      <selection activeCell="B6" sqref="B6:I6"/>
    </sheetView>
  </sheetViews>
  <sheetFormatPr baseColWidth="10" defaultColWidth="11.42578125" defaultRowHeight="12.75" x14ac:dyDescent="0.2"/>
  <cols>
    <col min="1" max="1" width="5.42578125" style="106" customWidth="1"/>
    <col min="2" max="2" width="7.28515625" style="106" bestFit="1" customWidth="1"/>
    <col min="3" max="3" width="7.28515625" style="106" hidden="1" customWidth="1"/>
    <col min="4" max="4" width="55.28515625" style="106" customWidth="1"/>
    <col min="5" max="6" width="10.140625" style="106" customWidth="1"/>
    <col min="7" max="8" width="20.28515625" style="106" customWidth="1"/>
    <col min="9" max="9" width="20.28515625" style="110" customWidth="1"/>
    <col min="10" max="10" width="18" style="110" customWidth="1"/>
    <col min="11" max="16384" width="11.42578125" style="106"/>
  </cols>
  <sheetData>
    <row r="1" spans="2:10" x14ac:dyDescent="0.2">
      <c r="C1" s="107"/>
      <c r="D1" s="107"/>
      <c r="E1" s="107"/>
      <c r="F1" s="108"/>
      <c r="G1" s="108"/>
      <c r="H1" s="107"/>
      <c r="I1" s="109"/>
      <c r="J1" s="109"/>
    </row>
    <row r="2" spans="2:10" x14ac:dyDescent="0.2">
      <c r="C2" s="107"/>
      <c r="D2" s="107"/>
      <c r="E2" s="107"/>
      <c r="F2" s="108"/>
      <c r="G2" s="108"/>
      <c r="H2" s="107"/>
    </row>
    <row r="3" spans="2:10" x14ac:dyDescent="0.2">
      <c r="C3" s="107"/>
      <c r="D3" s="107"/>
      <c r="E3" s="107"/>
      <c r="F3" s="108"/>
      <c r="G3" s="108"/>
      <c r="H3" s="107"/>
    </row>
    <row r="4" spans="2:10" x14ac:dyDescent="0.2">
      <c r="C4" s="107"/>
      <c r="D4" s="107"/>
      <c r="E4" s="107"/>
      <c r="F4" s="108"/>
      <c r="G4" s="108"/>
      <c r="H4" s="107"/>
      <c r="I4" s="109"/>
      <c r="J4" s="109"/>
    </row>
    <row r="5" spans="2:10" ht="13.5" thickBot="1" x14ac:dyDescent="0.25">
      <c r="C5" s="107"/>
      <c r="D5" s="107"/>
      <c r="E5" s="107"/>
      <c r="F5" s="108"/>
      <c r="G5" s="108"/>
      <c r="H5" s="107"/>
      <c r="I5" s="109"/>
      <c r="J5" s="109"/>
    </row>
    <row r="6" spans="2:10" ht="27" thickBot="1" x14ac:dyDescent="0.25">
      <c r="B6" s="376" t="s">
        <v>51</v>
      </c>
      <c r="C6" s="377"/>
      <c r="D6" s="377"/>
      <c r="E6" s="377"/>
      <c r="F6" s="377"/>
      <c r="G6" s="377"/>
      <c r="H6" s="377"/>
      <c r="I6" s="378"/>
    </row>
    <row r="7" spans="2:10" ht="26.25" thickBot="1" x14ac:dyDescent="0.25">
      <c r="B7" s="111" t="s">
        <v>52</v>
      </c>
      <c r="C7" s="111" t="s">
        <v>53</v>
      </c>
      <c r="D7" s="111" t="s">
        <v>186</v>
      </c>
      <c r="E7" s="181" t="s">
        <v>54</v>
      </c>
      <c r="F7" s="112" t="s">
        <v>187</v>
      </c>
      <c r="G7" s="113" t="s">
        <v>193</v>
      </c>
      <c r="H7" s="114" t="s">
        <v>55</v>
      </c>
      <c r="I7" s="115" t="s">
        <v>56</v>
      </c>
      <c r="J7" s="109"/>
    </row>
    <row r="8" spans="2:10" ht="21" customHeight="1" thickBot="1" x14ac:dyDescent="0.25">
      <c r="B8" s="184"/>
      <c r="C8" s="185"/>
      <c r="D8" s="185" t="s">
        <v>57</v>
      </c>
      <c r="E8" s="185"/>
      <c r="F8" s="185"/>
      <c r="G8" s="185"/>
      <c r="H8" s="186">
        <f>SUM(H9:H20)</f>
        <v>147387.70684952044</v>
      </c>
      <c r="I8" s="183">
        <f t="shared" ref="I8:I21" si="0">H8/$H$42</f>
        <v>0.56289500907456225</v>
      </c>
      <c r="J8" s="109"/>
    </row>
    <row r="9" spans="2:10" ht="30" customHeight="1" x14ac:dyDescent="0.2">
      <c r="B9" s="163">
        <v>1</v>
      </c>
      <c r="C9" s="163">
        <v>1</v>
      </c>
      <c r="D9" s="164" t="s">
        <v>58</v>
      </c>
      <c r="E9" s="163" t="s">
        <v>59</v>
      </c>
      <c r="F9" s="163">
        <v>1</v>
      </c>
      <c r="G9" s="165">
        <v>6315.4634397474538</v>
      </c>
      <c r="H9" s="165">
        <f t="shared" ref="H9:H20" si="1">F9*G9</f>
        <v>6315.4634397474538</v>
      </c>
      <c r="I9" s="176">
        <f t="shared" si="0"/>
        <v>2.4119669992940636E-2</v>
      </c>
      <c r="J9" s="109"/>
    </row>
    <row r="10" spans="2:10" ht="30" customHeight="1" x14ac:dyDescent="0.2">
      <c r="B10" s="156">
        <v>2</v>
      </c>
      <c r="C10" s="156">
        <v>2</v>
      </c>
      <c r="D10" s="157" t="s">
        <v>60</v>
      </c>
      <c r="E10" s="156" t="s">
        <v>59</v>
      </c>
      <c r="F10" s="156">
        <v>1</v>
      </c>
      <c r="G10" s="155">
        <v>17403.362524222099</v>
      </c>
      <c r="H10" s="155">
        <f t="shared" si="1"/>
        <v>17403.362524222099</v>
      </c>
      <c r="I10" s="177">
        <f t="shared" si="0"/>
        <v>6.6465963243472287E-2</v>
      </c>
      <c r="J10" s="109"/>
    </row>
    <row r="11" spans="2:10" ht="30" customHeight="1" x14ac:dyDescent="0.2">
      <c r="B11" s="156">
        <v>3</v>
      </c>
      <c r="C11" s="156">
        <v>3</v>
      </c>
      <c r="D11" s="157" t="s">
        <v>61</v>
      </c>
      <c r="E11" s="156" t="s">
        <v>59</v>
      </c>
      <c r="F11" s="156">
        <v>1</v>
      </c>
      <c r="G11" s="155">
        <v>21820.682765697911</v>
      </c>
      <c r="H11" s="155">
        <f t="shared" si="1"/>
        <v>21820.682765697911</v>
      </c>
      <c r="I11" s="177">
        <f t="shared" si="0"/>
        <v>8.3336349319493019E-2</v>
      </c>
      <c r="J11" s="109"/>
    </row>
    <row r="12" spans="2:10" ht="30" customHeight="1" x14ac:dyDescent="0.2">
      <c r="B12" s="156">
        <v>4</v>
      </c>
      <c r="C12" s="156">
        <v>4</v>
      </c>
      <c r="D12" s="157" t="s">
        <v>62</v>
      </c>
      <c r="E12" s="156" t="s">
        <v>59</v>
      </c>
      <c r="F12" s="156">
        <v>1</v>
      </c>
      <c r="G12" s="155">
        <v>11880.781448674876</v>
      </c>
      <c r="H12" s="155">
        <f t="shared" si="1"/>
        <v>11880.781448674876</v>
      </c>
      <c r="I12" s="177">
        <f t="shared" si="0"/>
        <v>4.5374425888806712E-2</v>
      </c>
      <c r="J12" s="109"/>
    </row>
    <row r="13" spans="2:10" ht="30" customHeight="1" x14ac:dyDescent="0.2">
      <c r="B13" s="156">
        <v>5</v>
      </c>
      <c r="C13" s="156">
        <v>4</v>
      </c>
      <c r="D13" s="157" t="s">
        <v>63</v>
      </c>
      <c r="E13" s="156" t="s">
        <v>59</v>
      </c>
      <c r="F13" s="156">
        <v>1</v>
      </c>
      <c r="G13" s="155">
        <v>11880.781448674876</v>
      </c>
      <c r="H13" s="155">
        <f t="shared" si="1"/>
        <v>11880.781448674876</v>
      </c>
      <c r="I13" s="177">
        <f t="shared" si="0"/>
        <v>4.5374425888806712E-2</v>
      </c>
      <c r="J13" s="109"/>
    </row>
    <row r="14" spans="2:10" ht="30" customHeight="1" x14ac:dyDescent="0.2">
      <c r="B14" s="156">
        <v>6</v>
      </c>
      <c r="C14" s="156">
        <v>5</v>
      </c>
      <c r="D14" s="157" t="s">
        <v>64</v>
      </c>
      <c r="E14" s="156" t="s">
        <v>59</v>
      </c>
      <c r="F14" s="156">
        <v>1</v>
      </c>
      <c r="G14" s="155">
        <v>6537.7921758041375</v>
      </c>
      <c r="H14" s="155">
        <f t="shared" si="1"/>
        <v>6537.7921758041375</v>
      </c>
      <c r="I14" s="177">
        <f t="shared" si="0"/>
        <v>2.4968775651582412E-2</v>
      </c>
      <c r="J14" s="116"/>
    </row>
    <row r="15" spans="2:10" ht="30" customHeight="1" x14ac:dyDescent="0.2">
      <c r="B15" s="156">
        <v>7</v>
      </c>
      <c r="C15" s="156">
        <v>6</v>
      </c>
      <c r="D15" s="157" t="s">
        <v>65</v>
      </c>
      <c r="E15" s="156" t="s">
        <v>59</v>
      </c>
      <c r="F15" s="156">
        <v>1</v>
      </c>
      <c r="G15" s="155">
        <v>8554.9450770993662</v>
      </c>
      <c r="H15" s="155">
        <f t="shared" si="1"/>
        <v>8554.9450770993662</v>
      </c>
      <c r="I15" s="177">
        <f t="shared" si="0"/>
        <v>3.2672574868966409E-2</v>
      </c>
      <c r="J15" s="116"/>
    </row>
    <row r="16" spans="2:10" ht="30" customHeight="1" x14ac:dyDescent="0.2">
      <c r="B16" s="156">
        <v>8</v>
      </c>
      <c r="C16" s="156">
        <v>7</v>
      </c>
      <c r="D16" s="157" t="s">
        <v>66</v>
      </c>
      <c r="E16" s="156" t="s">
        <v>59</v>
      </c>
      <c r="F16" s="156">
        <v>1</v>
      </c>
      <c r="G16" s="155">
        <v>3909.0037473846683</v>
      </c>
      <c r="H16" s="155">
        <f t="shared" si="1"/>
        <v>3909.0037473846683</v>
      </c>
      <c r="I16" s="177">
        <f t="shared" si="0"/>
        <v>1.4929051729552369E-2</v>
      </c>
      <c r="J16" s="116"/>
    </row>
    <row r="17" spans="2:10" ht="30" customHeight="1" x14ac:dyDescent="0.2">
      <c r="B17" s="159">
        <v>9</v>
      </c>
      <c r="C17" s="156">
        <v>8</v>
      </c>
      <c r="D17" s="157" t="s">
        <v>67</v>
      </c>
      <c r="E17" s="156" t="s">
        <v>59</v>
      </c>
      <c r="F17" s="156">
        <v>1</v>
      </c>
      <c r="G17" s="155">
        <v>19051.19807642309</v>
      </c>
      <c r="H17" s="155">
        <f t="shared" si="1"/>
        <v>19051.19807642309</v>
      </c>
      <c r="I17" s="177">
        <f t="shared" si="0"/>
        <v>7.2759285990236913E-2</v>
      </c>
      <c r="J17" s="116"/>
    </row>
    <row r="18" spans="2:10" ht="30" customHeight="1" x14ac:dyDescent="0.2">
      <c r="B18" s="156">
        <v>10</v>
      </c>
      <c r="C18" s="159">
        <v>9</v>
      </c>
      <c r="D18" s="160" t="s">
        <v>68</v>
      </c>
      <c r="E18" s="156" t="s">
        <v>59</v>
      </c>
      <c r="F18" s="159">
        <v>1</v>
      </c>
      <c r="G18" s="155">
        <v>14954.581122257146</v>
      </c>
      <c r="H18" s="155">
        <f t="shared" si="1"/>
        <v>14954.581122257146</v>
      </c>
      <c r="I18" s="177">
        <f t="shared" si="0"/>
        <v>5.7113712238658139E-2</v>
      </c>
      <c r="J18" s="116"/>
    </row>
    <row r="19" spans="2:10" ht="30" customHeight="1" x14ac:dyDescent="0.2">
      <c r="B19" s="156">
        <v>11</v>
      </c>
      <c r="C19" s="156" t="s">
        <v>69</v>
      </c>
      <c r="D19" s="160" t="s">
        <v>70</v>
      </c>
      <c r="E19" s="192" t="s">
        <v>71</v>
      </c>
      <c r="F19" s="192">
        <v>1</v>
      </c>
      <c r="G19" s="155">
        <v>12546.410988626156</v>
      </c>
      <c r="H19" s="155">
        <f t="shared" si="1"/>
        <v>12546.410988626156</v>
      </c>
      <c r="I19" s="177">
        <f t="shared" si="0"/>
        <v>4.7916561552222063E-2</v>
      </c>
      <c r="J19" s="116"/>
    </row>
    <row r="20" spans="2:10" ht="30" customHeight="1" thickBot="1" x14ac:dyDescent="0.25">
      <c r="B20" s="156">
        <v>12</v>
      </c>
      <c r="C20" s="156">
        <v>11</v>
      </c>
      <c r="D20" s="157" t="s">
        <v>72</v>
      </c>
      <c r="E20" s="193" t="s">
        <v>59</v>
      </c>
      <c r="F20" s="193">
        <v>1</v>
      </c>
      <c r="G20" s="161">
        <v>12532.704034908671</v>
      </c>
      <c r="H20" s="161">
        <f t="shared" si="1"/>
        <v>12532.704034908671</v>
      </c>
      <c r="I20" s="178">
        <f t="shared" si="0"/>
        <v>4.7864212709824605E-2</v>
      </c>
      <c r="J20" s="116"/>
    </row>
    <row r="21" spans="2:10" ht="21" customHeight="1" thickBot="1" x14ac:dyDescent="0.25">
      <c r="B21" s="182"/>
      <c r="C21" s="150"/>
      <c r="D21" s="151" t="s">
        <v>73</v>
      </c>
      <c r="E21" s="150"/>
      <c r="F21" s="150"/>
      <c r="G21" s="152"/>
      <c r="H21" s="153">
        <f>SUM(H22:H41)</f>
        <v>114451.00991550447</v>
      </c>
      <c r="I21" s="183">
        <f t="shared" si="0"/>
        <v>0.4371049909254377</v>
      </c>
      <c r="J21" s="116"/>
    </row>
    <row r="22" spans="2:10" ht="30" customHeight="1" x14ac:dyDescent="0.2">
      <c r="B22" s="117">
        <v>13</v>
      </c>
      <c r="C22" s="117">
        <v>12</v>
      </c>
      <c r="D22" s="118" t="s">
        <v>74</v>
      </c>
      <c r="E22" s="119"/>
      <c r="F22" s="119"/>
      <c r="G22" s="120"/>
      <c r="H22" s="120"/>
      <c r="I22" s="179"/>
      <c r="J22" s="116"/>
    </row>
    <row r="23" spans="2:10" ht="30" customHeight="1" x14ac:dyDescent="0.2">
      <c r="B23" s="162" t="s">
        <v>195</v>
      </c>
      <c r="C23" s="162" t="s">
        <v>75</v>
      </c>
      <c r="D23" s="191" t="s">
        <v>76</v>
      </c>
      <c r="E23" s="162" t="s">
        <v>71</v>
      </c>
      <c r="F23" s="162">
        <v>1</v>
      </c>
      <c r="G23" s="161">
        <v>2221.21561070298</v>
      </c>
      <c r="H23" s="161">
        <f t="shared" ref="H23:H41" si="2">F23*G23</f>
        <v>2221.21561070298</v>
      </c>
      <c r="I23" s="178">
        <f t="shared" ref="I23:I41" si="3">H23/$H$42</f>
        <v>8.4831442734891929E-3</v>
      </c>
      <c r="J23" s="116"/>
    </row>
    <row r="24" spans="2:10" ht="30" customHeight="1" x14ac:dyDescent="0.2">
      <c r="B24" s="156" t="s">
        <v>196</v>
      </c>
      <c r="C24" s="156" t="s">
        <v>77</v>
      </c>
      <c r="D24" s="189" t="s">
        <v>78</v>
      </c>
      <c r="E24" s="156" t="s">
        <v>71</v>
      </c>
      <c r="F24" s="156">
        <v>1</v>
      </c>
      <c r="G24" s="158">
        <v>2100</v>
      </c>
      <c r="H24" s="155">
        <f t="shared" si="2"/>
        <v>2100</v>
      </c>
      <c r="I24" s="177">
        <f t="shared" si="3"/>
        <v>8.0202042919594197E-3</v>
      </c>
      <c r="J24" s="116"/>
    </row>
    <row r="25" spans="2:10" ht="30" customHeight="1" x14ac:dyDescent="0.2">
      <c r="B25" s="156" t="s">
        <v>197</v>
      </c>
      <c r="C25" s="156" t="s">
        <v>79</v>
      </c>
      <c r="D25" s="189" t="s">
        <v>80</v>
      </c>
      <c r="E25" s="156" t="s">
        <v>71</v>
      </c>
      <c r="F25" s="156">
        <v>1</v>
      </c>
      <c r="G25" s="158">
        <v>1973.6494291167053</v>
      </c>
      <c r="H25" s="155">
        <f t="shared" si="2"/>
        <v>1973.6494291167053</v>
      </c>
      <c r="I25" s="177">
        <f t="shared" si="3"/>
        <v>7.5376531534405043E-3</v>
      </c>
      <c r="J25" s="116"/>
    </row>
    <row r="26" spans="2:10" ht="30" customHeight="1" x14ac:dyDescent="0.2">
      <c r="B26" s="156" t="s">
        <v>198</v>
      </c>
      <c r="C26" s="156" t="s">
        <v>81</v>
      </c>
      <c r="D26" s="189" t="s">
        <v>82</v>
      </c>
      <c r="E26" s="156" t="s">
        <v>71</v>
      </c>
      <c r="F26" s="156">
        <v>1</v>
      </c>
      <c r="G26" s="158">
        <v>1633.3175963478006</v>
      </c>
      <c r="H26" s="155">
        <f t="shared" si="2"/>
        <v>1633.3175963478006</v>
      </c>
      <c r="I26" s="177">
        <f t="shared" si="3"/>
        <v>6.2378765696959404E-3</v>
      </c>
      <c r="J26" s="116"/>
    </row>
    <row r="27" spans="2:10" ht="30" customHeight="1" x14ac:dyDescent="0.2">
      <c r="B27" s="156" t="s">
        <v>199</v>
      </c>
      <c r="C27" s="156" t="s">
        <v>83</v>
      </c>
      <c r="D27" s="189" t="s">
        <v>84</v>
      </c>
      <c r="E27" s="156" t="s">
        <v>71</v>
      </c>
      <c r="F27" s="156">
        <v>1</v>
      </c>
      <c r="G27" s="158">
        <v>2152.759376146701</v>
      </c>
      <c r="H27" s="155">
        <f t="shared" si="2"/>
        <v>2152.759376146701</v>
      </c>
      <c r="I27" s="177">
        <f t="shared" si="3"/>
        <v>8.2216999943465034E-3</v>
      </c>
      <c r="J27" s="116"/>
    </row>
    <row r="28" spans="2:10" ht="30" customHeight="1" x14ac:dyDescent="0.2">
      <c r="B28" s="156" t="s">
        <v>200</v>
      </c>
      <c r="C28" s="156" t="s">
        <v>85</v>
      </c>
      <c r="D28" s="189" t="s">
        <v>86</v>
      </c>
      <c r="E28" s="156" t="s">
        <v>71</v>
      </c>
      <c r="F28" s="156">
        <v>1</v>
      </c>
      <c r="G28" s="158">
        <v>1930.5346147228006</v>
      </c>
      <c r="H28" s="155">
        <f t="shared" si="2"/>
        <v>1930.5346147228006</v>
      </c>
      <c r="I28" s="177">
        <f t="shared" si="3"/>
        <v>7.3729914298933481E-3</v>
      </c>
      <c r="J28" s="116"/>
    </row>
    <row r="29" spans="2:10" ht="30" customHeight="1" x14ac:dyDescent="0.2">
      <c r="B29" s="156" t="s">
        <v>201</v>
      </c>
      <c r="C29" s="156" t="s">
        <v>87</v>
      </c>
      <c r="D29" s="189" t="s">
        <v>88</v>
      </c>
      <c r="E29" s="156" t="s">
        <v>71</v>
      </c>
      <c r="F29" s="156">
        <v>1</v>
      </c>
      <c r="G29" s="158">
        <v>368.76926353935181</v>
      </c>
      <c r="H29" s="155">
        <f t="shared" si="2"/>
        <v>368.76926353935181</v>
      </c>
      <c r="I29" s="177">
        <f t="shared" si="3"/>
        <v>1.4083832524671542E-3</v>
      </c>
      <c r="J29" s="116"/>
    </row>
    <row r="30" spans="2:10" ht="30" customHeight="1" x14ac:dyDescent="0.2">
      <c r="B30" s="156" t="s">
        <v>202</v>
      </c>
      <c r="C30" s="156" t="s">
        <v>89</v>
      </c>
      <c r="D30" s="189" t="s">
        <v>90</v>
      </c>
      <c r="E30" s="156" t="s">
        <v>71</v>
      </c>
      <c r="F30" s="156">
        <v>8</v>
      </c>
      <c r="G30" s="158">
        <v>460.3361227356902</v>
      </c>
      <c r="H30" s="155">
        <f t="shared" si="2"/>
        <v>3682.6889818855216</v>
      </c>
      <c r="I30" s="177">
        <f t="shared" si="3"/>
        <v>1.4064722846890441E-2</v>
      </c>
      <c r="J30" s="116"/>
    </row>
    <row r="31" spans="2:10" ht="30" customHeight="1" x14ac:dyDescent="0.2">
      <c r="B31" s="156" t="s">
        <v>203</v>
      </c>
      <c r="C31" s="156" t="s">
        <v>91</v>
      </c>
      <c r="D31" s="189" t="s">
        <v>92</v>
      </c>
      <c r="E31" s="156" t="s">
        <v>71</v>
      </c>
      <c r="F31" s="156">
        <v>6</v>
      </c>
      <c r="G31" s="158">
        <v>1503.629151987413</v>
      </c>
      <c r="H31" s="155">
        <f t="shared" si="2"/>
        <v>9021.7749119244781</v>
      </c>
      <c r="I31" s="177">
        <f t="shared" si="3"/>
        <v>3.4455465652242154E-2</v>
      </c>
      <c r="J31" s="116"/>
    </row>
    <row r="32" spans="2:10" ht="30" customHeight="1" x14ac:dyDescent="0.2">
      <c r="B32" s="159">
        <v>14</v>
      </c>
      <c r="C32" s="159">
        <v>13</v>
      </c>
      <c r="D32" s="190" t="s">
        <v>93</v>
      </c>
      <c r="E32" s="159" t="s">
        <v>71</v>
      </c>
      <c r="F32" s="159">
        <v>1</v>
      </c>
      <c r="G32" s="158">
        <v>6743.7991067401617</v>
      </c>
      <c r="H32" s="158">
        <f t="shared" si="2"/>
        <v>6743.7991067401617</v>
      </c>
      <c r="I32" s="180">
        <f t="shared" si="3"/>
        <v>2.5755545971423596E-2</v>
      </c>
      <c r="J32" s="116"/>
    </row>
    <row r="33" spans="2:10" ht="30" customHeight="1" x14ac:dyDescent="0.2">
      <c r="B33" s="159">
        <v>15</v>
      </c>
      <c r="C33" s="159"/>
      <c r="D33" s="190" t="s">
        <v>94</v>
      </c>
      <c r="E33" s="159" t="s">
        <v>71</v>
      </c>
      <c r="F33" s="159">
        <v>1</v>
      </c>
      <c r="G33" s="194">
        <v>5000</v>
      </c>
      <c r="H33" s="158">
        <f t="shared" si="2"/>
        <v>5000</v>
      </c>
      <c r="I33" s="180">
        <f t="shared" si="3"/>
        <v>1.9095724504665287E-2</v>
      </c>
      <c r="J33" s="116"/>
    </row>
    <row r="34" spans="2:10" ht="30" customHeight="1" x14ac:dyDescent="0.2">
      <c r="B34" s="156">
        <v>16</v>
      </c>
      <c r="C34" s="156">
        <v>14</v>
      </c>
      <c r="D34" s="189" t="s">
        <v>95</v>
      </c>
      <c r="E34" s="156" t="s">
        <v>59</v>
      </c>
      <c r="F34" s="156">
        <v>1</v>
      </c>
      <c r="G34" s="155">
        <v>7701.8656177248013</v>
      </c>
      <c r="H34" s="155">
        <f t="shared" si="2"/>
        <v>7701.8656177248013</v>
      </c>
      <c r="I34" s="177">
        <f t="shared" si="3"/>
        <v>2.9414540801605306E-2</v>
      </c>
      <c r="J34" s="116"/>
    </row>
    <row r="35" spans="2:10" ht="30" customHeight="1" x14ac:dyDescent="0.2">
      <c r="B35" s="156">
        <v>17</v>
      </c>
      <c r="C35" s="156">
        <v>15</v>
      </c>
      <c r="D35" s="189" t="s">
        <v>96</v>
      </c>
      <c r="E35" s="156" t="s">
        <v>59</v>
      </c>
      <c r="F35" s="156">
        <v>1</v>
      </c>
      <c r="G35" s="155">
        <v>35225.499473673357</v>
      </c>
      <c r="H35" s="155">
        <f t="shared" si="2"/>
        <v>35225.499473673357</v>
      </c>
      <c r="I35" s="177">
        <f t="shared" si="3"/>
        <v>0.1345312866976997</v>
      </c>
      <c r="J35" s="116"/>
    </row>
    <row r="36" spans="2:10" ht="30" customHeight="1" x14ac:dyDescent="0.2">
      <c r="B36" s="156">
        <v>18</v>
      </c>
      <c r="C36" s="156">
        <v>16</v>
      </c>
      <c r="D36" s="189" t="s">
        <v>97</v>
      </c>
      <c r="E36" s="156" t="s">
        <v>59</v>
      </c>
      <c r="F36" s="156">
        <v>1</v>
      </c>
      <c r="G36" s="155">
        <v>6647.2973741604146</v>
      </c>
      <c r="H36" s="155">
        <f t="shared" si="2"/>
        <v>6647.2973741604146</v>
      </c>
      <c r="I36" s="177">
        <f t="shared" si="3"/>
        <v>2.5386991871510448E-2</v>
      </c>
      <c r="J36" s="116"/>
    </row>
    <row r="37" spans="2:10" ht="30" customHeight="1" x14ac:dyDescent="0.2">
      <c r="B37" s="156">
        <v>19</v>
      </c>
      <c r="C37" s="156">
        <v>17</v>
      </c>
      <c r="D37" s="189" t="s">
        <v>98</v>
      </c>
      <c r="E37" s="156" t="s">
        <v>71</v>
      </c>
      <c r="F37" s="156">
        <v>1</v>
      </c>
      <c r="G37" s="155">
        <v>11074.085943898146</v>
      </c>
      <c r="H37" s="155">
        <f t="shared" si="2"/>
        <v>11074.085943898146</v>
      </c>
      <c r="I37" s="177">
        <f t="shared" si="3"/>
        <v>4.2293538865133047E-2</v>
      </c>
      <c r="J37" s="116"/>
    </row>
    <row r="38" spans="2:10" ht="30" customHeight="1" x14ac:dyDescent="0.2">
      <c r="B38" s="156">
        <v>20</v>
      </c>
      <c r="C38" s="156">
        <v>18</v>
      </c>
      <c r="D38" s="189" t="s">
        <v>99</v>
      </c>
      <c r="E38" s="156" t="s">
        <v>71</v>
      </c>
      <c r="F38" s="156">
        <v>2</v>
      </c>
      <c r="G38" s="155">
        <v>1713.8138721576968</v>
      </c>
      <c r="H38" s="155">
        <f t="shared" si="2"/>
        <v>3427.6277443153936</v>
      </c>
      <c r="I38" s="177">
        <f t="shared" si="3"/>
        <v>1.3090607021998813E-2</v>
      </c>
      <c r="J38" s="116"/>
    </row>
    <row r="39" spans="2:10" ht="30" customHeight="1" x14ac:dyDescent="0.2">
      <c r="B39" s="156">
        <v>21</v>
      </c>
      <c r="C39" s="156">
        <v>19</v>
      </c>
      <c r="D39" s="189" t="s">
        <v>100</v>
      </c>
      <c r="E39" s="156" t="s">
        <v>59</v>
      </c>
      <c r="F39" s="156">
        <v>1</v>
      </c>
      <c r="G39" s="155">
        <v>8385.4435226154983</v>
      </c>
      <c r="H39" s="155">
        <f t="shared" si="2"/>
        <v>8385.4435226154983</v>
      </c>
      <c r="I39" s="177">
        <f t="shared" si="3"/>
        <v>3.2025223871459112E-2</v>
      </c>
      <c r="J39" s="116"/>
    </row>
    <row r="40" spans="2:10" ht="30" customHeight="1" x14ac:dyDescent="0.2">
      <c r="B40" s="156">
        <v>22</v>
      </c>
      <c r="C40" s="156">
        <v>20</v>
      </c>
      <c r="D40" s="189" t="s">
        <v>101</v>
      </c>
      <c r="E40" s="156" t="s">
        <v>59</v>
      </c>
      <c r="F40" s="156">
        <v>1</v>
      </c>
      <c r="G40" s="155">
        <v>2876.3365434915372</v>
      </c>
      <c r="H40" s="155">
        <f t="shared" si="2"/>
        <v>2876.3365434915372</v>
      </c>
      <c r="I40" s="177">
        <f t="shared" si="3"/>
        <v>1.098514604344312E-2</v>
      </c>
      <c r="J40" s="116"/>
    </row>
    <row r="41" spans="2:10" ht="30" customHeight="1" x14ac:dyDescent="0.2">
      <c r="B41" s="156">
        <v>23</v>
      </c>
      <c r="C41" s="156">
        <v>21</v>
      </c>
      <c r="D41" s="189" t="s">
        <v>102</v>
      </c>
      <c r="E41" s="156" t="s">
        <v>59</v>
      </c>
      <c r="F41" s="156">
        <v>1</v>
      </c>
      <c r="G41" s="155">
        <v>2284.3448044988168</v>
      </c>
      <c r="H41" s="155">
        <f t="shared" si="2"/>
        <v>2284.3448044988168</v>
      </c>
      <c r="I41" s="177">
        <f t="shared" si="3"/>
        <v>8.7242438120745773E-3</v>
      </c>
      <c r="J41" s="116"/>
    </row>
    <row r="42" spans="2:10" ht="21" customHeight="1" thickBot="1" x14ac:dyDescent="0.25">
      <c r="B42" s="374" t="s">
        <v>194</v>
      </c>
      <c r="C42" s="375"/>
      <c r="D42" s="375"/>
      <c r="E42" s="375"/>
      <c r="F42" s="375"/>
      <c r="G42" s="375"/>
      <c r="H42" s="241">
        <f>$H$8+$H$21</f>
        <v>261838.71676502493</v>
      </c>
      <c r="I42" s="240">
        <f>$I$8+$I$21</f>
        <v>1</v>
      </c>
      <c r="J42" s="121"/>
    </row>
    <row r="43" spans="2:10" x14ac:dyDescent="0.2">
      <c r="I43" s="106"/>
      <c r="J43" s="106"/>
    </row>
    <row r="44" spans="2:10" x14ac:dyDescent="0.2">
      <c r="C44" s="122"/>
      <c r="H44" s="123"/>
      <c r="I44" s="124"/>
    </row>
    <row r="45" spans="2:10" x14ac:dyDescent="0.2">
      <c r="C45" s="122"/>
      <c r="I45" s="125"/>
    </row>
    <row r="46" spans="2:10" x14ac:dyDescent="0.2">
      <c r="C46" s="122"/>
      <c r="I46" s="124"/>
    </row>
    <row r="47" spans="2:10" x14ac:dyDescent="0.2">
      <c r="C47" s="122"/>
      <c r="D47" s="122"/>
      <c r="E47" s="122"/>
      <c r="F47" s="122"/>
      <c r="G47" s="122"/>
      <c r="H47" s="122"/>
      <c r="I47" s="126"/>
    </row>
    <row r="48" spans="2:10" x14ac:dyDescent="0.2">
      <c r="C48" s="122"/>
      <c r="D48" s="122"/>
      <c r="E48" s="122"/>
      <c r="F48" s="122"/>
      <c r="G48" s="122"/>
      <c r="H48" s="122"/>
      <c r="I48" s="126"/>
    </row>
    <row r="54" spans="9:10" x14ac:dyDescent="0.2">
      <c r="I54" s="127"/>
      <c r="J54" s="128"/>
    </row>
    <row r="55" spans="9:10" x14ac:dyDescent="0.2">
      <c r="I55" s="128"/>
    </row>
  </sheetData>
  <mergeCells count="2">
    <mergeCell ref="B42:G42"/>
    <mergeCell ref="B6:I6"/>
  </mergeCells>
  <printOptions horizontalCentered="1" verticalCentered="1"/>
  <pageMargins left="0.70866141732283472" right="0.70866141732283472" top="0.11811023622047245" bottom="0.43307086614173229" header="0.31496062992125984" footer="0.31496062992125984"/>
  <pageSetup paperSize="8" scale="56" fitToHeight="2" orientation="landscape" r:id="rId1"/>
  <headerFooter>
    <oddFooter>Página &amp;P de &amp;F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18"/>
  <sheetViews>
    <sheetView showGridLines="0" workbookViewId="0">
      <selection activeCell="C9" sqref="C9"/>
    </sheetView>
  </sheetViews>
  <sheetFormatPr baseColWidth="10" defaultRowHeight="15" x14ac:dyDescent="0.25"/>
  <cols>
    <col min="2" max="2" width="81.7109375" customWidth="1"/>
    <col min="3" max="3" width="17.42578125" bestFit="1" customWidth="1"/>
    <col min="4" max="4" width="22.85546875" bestFit="1" customWidth="1"/>
    <col min="5" max="5" width="10.42578125" bestFit="1" customWidth="1"/>
    <col min="6" max="6" width="17.28515625" customWidth="1"/>
    <col min="8" max="8" width="14.140625" customWidth="1"/>
  </cols>
  <sheetData>
    <row r="1" spans="2:8" x14ac:dyDescent="0.25">
      <c r="H1" s="101"/>
    </row>
    <row r="2" spans="2:8" ht="30" thickBot="1" x14ac:dyDescent="0.3">
      <c r="B2" s="379" t="s">
        <v>212</v>
      </c>
      <c r="C2" s="379"/>
      <c r="D2" s="379"/>
      <c r="E2" s="379"/>
      <c r="F2" s="379"/>
      <c r="G2" s="101"/>
      <c r="H2" s="101"/>
    </row>
    <row r="3" spans="2:8" ht="16.5" thickBot="1" x14ac:dyDescent="0.3">
      <c r="B3" s="212" t="s">
        <v>105</v>
      </c>
      <c r="C3" s="213" t="s">
        <v>115</v>
      </c>
      <c r="D3" s="214" t="s">
        <v>210</v>
      </c>
      <c r="E3" s="214" t="s">
        <v>116</v>
      </c>
      <c r="F3" s="215" t="s">
        <v>46</v>
      </c>
    </row>
    <row r="4" spans="2:8" ht="36" customHeight="1" x14ac:dyDescent="0.25">
      <c r="B4" s="216" t="s">
        <v>218</v>
      </c>
      <c r="C4" s="217" t="s">
        <v>6</v>
      </c>
      <c r="D4" s="198">
        <f>D13-9500</f>
        <v>31656.699999999997</v>
      </c>
      <c r="E4" s="222">
        <v>32</v>
      </c>
      <c r="F4" s="224">
        <f>D4*E4</f>
        <v>1013014.3999999999</v>
      </c>
    </row>
    <row r="5" spans="2:8" x14ac:dyDescent="0.25">
      <c r="B5" s="218" t="s">
        <v>42</v>
      </c>
      <c r="C5" s="219" t="s">
        <v>119</v>
      </c>
      <c r="D5" s="220">
        <v>4777.7169230769223</v>
      </c>
      <c r="E5" s="222">
        <v>1</v>
      </c>
      <c r="F5" s="225">
        <f>D5*E5</f>
        <v>4777.7169230769223</v>
      </c>
    </row>
    <row r="6" spans="2:8" ht="15.75" thickBot="1" x14ac:dyDescent="0.3">
      <c r="B6" s="200"/>
      <c r="C6" s="200"/>
      <c r="D6" s="102"/>
      <c r="E6" s="102"/>
      <c r="F6" s="102"/>
    </row>
    <row r="7" spans="2:8" ht="15.75" thickBot="1" x14ac:dyDescent="0.3">
      <c r="D7" s="199" t="s">
        <v>209</v>
      </c>
      <c r="E7" s="210"/>
      <c r="F7" s="149">
        <f>SUM(F4:F5)</f>
        <v>1017792.1169230768</v>
      </c>
    </row>
    <row r="11" spans="2:8" ht="30" thickBot="1" x14ac:dyDescent="0.3">
      <c r="B11" s="379" t="s">
        <v>213</v>
      </c>
      <c r="C11" s="379"/>
      <c r="D11" s="379"/>
      <c r="E11" s="379"/>
      <c r="F11" s="379"/>
    </row>
    <row r="12" spans="2:8" ht="16.5" thickBot="1" x14ac:dyDescent="0.3">
      <c r="B12" s="212" t="s">
        <v>105</v>
      </c>
      <c r="C12" s="213" t="s">
        <v>115</v>
      </c>
      <c r="D12" s="214" t="s">
        <v>210</v>
      </c>
      <c r="E12" s="214" t="s">
        <v>116</v>
      </c>
      <c r="F12" s="215" t="s">
        <v>46</v>
      </c>
    </row>
    <row r="13" spans="2:8" ht="30" x14ac:dyDescent="0.25">
      <c r="B13" s="216" t="s">
        <v>217</v>
      </c>
      <c r="C13" s="217" t="s">
        <v>6</v>
      </c>
      <c r="D13" s="221">
        <v>41156.699999999997</v>
      </c>
      <c r="E13" s="222">
        <v>32</v>
      </c>
      <c r="F13" s="224">
        <f>D13*E13</f>
        <v>1317014.3999999999</v>
      </c>
    </row>
    <row r="14" spans="2:8" x14ac:dyDescent="0.25">
      <c r="B14" s="218" t="s">
        <v>42</v>
      </c>
      <c r="C14" s="219" t="s">
        <v>119</v>
      </c>
      <c r="D14" s="223">
        <v>4777.7169230769223</v>
      </c>
      <c r="E14" s="222">
        <v>1</v>
      </c>
      <c r="F14" s="225">
        <f>D14*E14</f>
        <v>4777.7169230769223</v>
      </c>
    </row>
    <row r="15" spans="2:8" ht="15.75" thickBot="1" x14ac:dyDescent="0.3">
      <c r="B15" s="200"/>
      <c r="C15" s="200"/>
      <c r="D15" s="201"/>
      <c r="E15" s="201"/>
      <c r="F15" s="102"/>
    </row>
    <row r="16" spans="2:8" ht="15.75" thickBot="1" x14ac:dyDescent="0.3">
      <c r="D16" s="199" t="s">
        <v>211</v>
      </c>
      <c r="E16" s="210"/>
      <c r="F16" s="149">
        <f>SUM(F13:F14)</f>
        <v>1321792.1169230768</v>
      </c>
    </row>
    <row r="17" spans="2:2" x14ac:dyDescent="0.25">
      <c r="B17" s="5" t="s">
        <v>214</v>
      </c>
    </row>
    <row r="18" spans="2:2" x14ac:dyDescent="0.25">
      <c r="B18" s="5"/>
    </row>
  </sheetData>
  <mergeCells count="2">
    <mergeCell ref="B2:F2"/>
    <mergeCell ref="B11:F11"/>
  </mergeCells>
  <pageMargins left="0.70866141732283472" right="0.70866141732283472" top="0.74803149606299213" bottom="0.74803149606299213" header="0.31496062992125984" footer="0.31496062992125984"/>
  <pageSetup paperSize="9" scale="74"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20"/>
  <sheetViews>
    <sheetView showGridLines="0" topLeftCell="A10" workbookViewId="0">
      <selection activeCell="D14" sqref="D14"/>
    </sheetView>
  </sheetViews>
  <sheetFormatPr baseColWidth="10" defaultRowHeight="15" x14ac:dyDescent="0.25"/>
  <cols>
    <col min="2" max="2" width="81.7109375" customWidth="1"/>
    <col min="3" max="3" width="17.42578125" bestFit="1" customWidth="1"/>
    <col min="4" max="4" width="22.85546875" bestFit="1" customWidth="1"/>
    <col min="5" max="5" width="10.42578125" bestFit="1" customWidth="1"/>
    <col min="6" max="6" width="17.28515625" customWidth="1"/>
    <col min="8" max="8" width="14.140625" customWidth="1"/>
  </cols>
  <sheetData>
    <row r="1" spans="2:8" x14ac:dyDescent="0.25">
      <c r="H1" s="101"/>
    </row>
    <row r="2" spans="2:8" ht="30" thickBot="1" x14ac:dyDescent="0.3">
      <c r="B2" s="379" t="s">
        <v>215</v>
      </c>
      <c r="C2" s="379"/>
      <c r="D2" s="379"/>
      <c r="E2" s="379"/>
      <c r="F2" s="379"/>
      <c r="G2" s="101"/>
      <c r="H2" s="101"/>
    </row>
    <row r="3" spans="2:8" ht="16.5" thickBot="1" x14ac:dyDescent="0.3">
      <c r="B3" s="212" t="s">
        <v>105</v>
      </c>
      <c r="C3" s="213" t="s">
        <v>115</v>
      </c>
      <c r="D3" s="214" t="s">
        <v>210</v>
      </c>
      <c r="E3" s="214" t="s">
        <v>116</v>
      </c>
      <c r="F3" s="215" t="s">
        <v>46</v>
      </c>
    </row>
    <row r="4" spans="2:8" ht="36" customHeight="1" x14ac:dyDescent="0.25">
      <c r="B4" s="216" t="s">
        <v>219</v>
      </c>
      <c r="C4" s="217" t="s">
        <v>6</v>
      </c>
      <c r="D4" s="198">
        <v>45268.775000000001</v>
      </c>
      <c r="E4" s="222">
        <v>32</v>
      </c>
      <c r="F4" s="224">
        <f>D4*E4</f>
        <v>1448600.8</v>
      </c>
    </row>
    <row r="5" spans="2:8" ht="30" x14ac:dyDescent="0.25">
      <c r="B5" s="226" t="s">
        <v>43</v>
      </c>
      <c r="C5" s="227" t="s">
        <v>59</v>
      </c>
      <c r="D5" s="228">
        <v>653385.52259324177</v>
      </c>
      <c r="E5" s="222">
        <v>1</v>
      </c>
      <c r="F5" s="229">
        <f>D5*E5</f>
        <v>653385.52259324177</v>
      </c>
    </row>
    <row r="6" spans="2:8" x14ac:dyDescent="0.25">
      <c r="B6" s="218" t="s">
        <v>44</v>
      </c>
      <c r="C6" s="219" t="s">
        <v>119</v>
      </c>
      <c r="D6" s="220">
        <v>40492.410256410258</v>
      </c>
      <c r="E6" s="222">
        <v>1</v>
      </c>
      <c r="F6" s="225">
        <f>D6*E6</f>
        <v>40492.410256410258</v>
      </c>
    </row>
    <row r="7" spans="2:8" ht="15.75" thickBot="1" x14ac:dyDescent="0.3">
      <c r="B7" s="200"/>
      <c r="C7" s="200"/>
      <c r="D7" s="102"/>
      <c r="E7" s="102"/>
      <c r="F7" s="102"/>
    </row>
    <row r="8" spans="2:8" ht="15.75" thickBot="1" x14ac:dyDescent="0.3">
      <c r="D8" s="199" t="s">
        <v>228</v>
      </c>
      <c r="E8" s="210"/>
      <c r="F8" s="149">
        <f>SUM(F4:F6)</f>
        <v>2142478.7328496524</v>
      </c>
    </row>
    <row r="12" spans="2:8" ht="30" thickBot="1" x14ac:dyDescent="0.3">
      <c r="B12" s="379" t="s">
        <v>216</v>
      </c>
      <c r="C12" s="379"/>
      <c r="D12" s="379"/>
      <c r="E12" s="379"/>
      <c r="F12" s="379"/>
    </row>
    <row r="13" spans="2:8" ht="16.5" thickBot="1" x14ac:dyDescent="0.3">
      <c r="B13" s="212" t="s">
        <v>105</v>
      </c>
      <c r="C13" s="213" t="s">
        <v>115</v>
      </c>
      <c r="D13" s="214" t="s">
        <v>210</v>
      </c>
      <c r="E13" s="214" t="s">
        <v>116</v>
      </c>
      <c r="F13" s="215" t="s">
        <v>46</v>
      </c>
    </row>
    <row r="14" spans="2:8" ht="30" x14ac:dyDescent="0.25">
      <c r="B14" s="216" t="s">
        <v>220</v>
      </c>
      <c r="C14" s="217" t="s">
        <v>6</v>
      </c>
      <c r="D14" s="221">
        <v>62259.9</v>
      </c>
      <c r="E14" s="222">
        <v>32</v>
      </c>
      <c r="F14" s="224">
        <f>D14*E14</f>
        <v>1992316.8</v>
      </c>
    </row>
    <row r="15" spans="2:8" ht="30" x14ac:dyDescent="0.25">
      <c r="B15" s="226" t="s">
        <v>43</v>
      </c>
      <c r="C15" s="227" t="s">
        <v>59</v>
      </c>
      <c r="D15" s="230">
        <v>653385.52259324177</v>
      </c>
      <c r="E15" s="222">
        <v>1</v>
      </c>
      <c r="F15" s="225">
        <f>D15*E15</f>
        <v>653385.52259324177</v>
      </c>
    </row>
    <row r="16" spans="2:8" x14ac:dyDescent="0.25">
      <c r="B16" s="218" t="s">
        <v>44</v>
      </c>
      <c r="C16" s="219" t="s">
        <v>119</v>
      </c>
      <c r="D16" s="223">
        <v>40492.410256410258</v>
      </c>
      <c r="E16" s="222">
        <v>1</v>
      </c>
      <c r="F16" s="225">
        <f>D16*E16</f>
        <v>40492.410256410258</v>
      </c>
    </row>
    <row r="17" spans="2:6" ht="15.75" thickBot="1" x14ac:dyDescent="0.3">
      <c r="B17" s="200"/>
      <c r="C17" s="200"/>
      <c r="D17" s="201"/>
      <c r="E17" s="201"/>
      <c r="F17" s="102"/>
    </row>
    <row r="18" spans="2:6" ht="15.75" thickBot="1" x14ac:dyDescent="0.3">
      <c r="D18" s="199" t="s">
        <v>229</v>
      </c>
      <c r="E18" s="210"/>
      <c r="F18" s="149">
        <f>SUM(F14:F16)</f>
        <v>2686194.7328496524</v>
      </c>
    </row>
    <row r="19" spans="2:6" x14ac:dyDescent="0.25">
      <c r="B19" s="5" t="s">
        <v>214</v>
      </c>
    </row>
    <row r="20" spans="2:6" x14ac:dyDescent="0.25">
      <c r="B20" s="5"/>
    </row>
  </sheetData>
  <mergeCells count="2">
    <mergeCell ref="B2:F2"/>
    <mergeCell ref="B12:F12"/>
  </mergeCells>
  <pageMargins left="0.70866141732283472" right="0.70866141732283472" top="0.74803149606299213" bottom="0.74803149606299213" header="0.31496062992125984" footer="0.31496062992125984"/>
  <pageSetup paperSize="9" scale="74"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V30"/>
  <sheetViews>
    <sheetView showGridLines="0" topLeftCell="D1" zoomScaleNormal="100" workbookViewId="0">
      <selection activeCell="B5" sqref="B5:O30"/>
    </sheetView>
  </sheetViews>
  <sheetFormatPr baseColWidth="10" defaultRowHeight="15" x14ac:dyDescent="0.25"/>
  <cols>
    <col min="2" max="2" width="20.28515625" customWidth="1"/>
    <col min="3" max="3" width="14.7109375" bestFit="1" customWidth="1"/>
    <col min="4" max="4" width="17.42578125" bestFit="1" customWidth="1"/>
    <col min="5" max="14" width="13.7109375" customWidth="1"/>
    <col min="15" max="15" width="17.42578125" bestFit="1" customWidth="1"/>
    <col min="17" max="17" width="24.42578125" bestFit="1" customWidth="1"/>
    <col min="18" max="18" width="17.85546875" customWidth="1"/>
    <col min="19" max="19" width="39.85546875" bestFit="1" customWidth="1"/>
    <col min="20" max="22" width="17.85546875" customWidth="1"/>
  </cols>
  <sheetData>
    <row r="4" spans="2:22" x14ac:dyDescent="0.25">
      <c r="Q4" s="131"/>
    </row>
    <row r="5" spans="2:22" ht="26.25" x14ac:dyDescent="0.4">
      <c r="B5" s="103" t="s">
        <v>236</v>
      </c>
    </row>
    <row r="6" spans="2:22" x14ac:dyDescent="0.25">
      <c r="B6" t="s">
        <v>237</v>
      </c>
    </row>
    <row r="7" spans="2:22" x14ac:dyDescent="0.25">
      <c r="B7" t="s">
        <v>238</v>
      </c>
      <c r="D7" s="298">
        <v>0.05</v>
      </c>
    </row>
    <row r="8" spans="2:22" ht="15.75" thickBot="1" x14ac:dyDescent="0.3">
      <c r="Q8" s="392"/>
      <c r="R8" s="392"/>
      <c r="S8" s="392"/>
      <c r="T8" s="392"/>
      <c r="U8" s="392"/>
      <c r="V8" s="392"/>
    </row>
    <row r="9" spans="2:22" x14ac:dyDescent="0.25">
      <c r="B9" s="380" t="s">
        <v>234</v>
      </c>
      <c r="C9" s="104"/>
      <c r="D9" s="306">
        <v>2020</v>
      </c>
      <c r="E9" s="306">
        <v>2021</v>
      </c>
      <c r="F9" s="306">
        <v>2022</v>
      </c>
      <c r="G9" s="306">
        <v>2023</v>
      </c>
      <c r="H9" s="306">
        <v>2024</v>
      </c>
      <c r="I9" s="306">
        <v>2025</v>
      </c>
      <c r="J9" s="306">
        <v>2026</v>
      </c>
      <c r="K9" s="306">
        <v>2027</v>
      </c>
      <c r="L9" s="306">
        <v>2028</v>
      </c>
      <c r="M9" s="306">
        <v>2029</v>
      </c>
      <c r="N9" s="307">
        <v>2030</v>
      </c>
      <c r="O9" s="300" t="s">
        <v>239</v>
      </c>
      <c r="Q9" s="129"/>
      <c r="R9" s="129"/>
      <c r="S9" s="129"/>
      <c r="T9" s="129"/>
      <c r="U9" s="129"/>
      <c r="V9" s="314"/>
    </row>
    <row r="10" spans="2:22" x14ac:dyDescent="0.25">
      <c r="B10" s="381"/>
      <c r="C10" s="287" t="s">
        <v>41</v>
      </c>
      <c r="D10" s="289">
        <f>ENS!D52</f>
        <v>101683.99443260007</v>
      </c>
      <c r="E10" s="289">
        <f>ENS!E52</f>
        <v>141631.45606023271</v>
      </c>
      <c r="F10" s="289">
        <f>ENS!F52</f>
        <v>193217.60252257856</v>
      </c>
      <c r="G10" s="289">
        <f>ENS!G52</f>
        <v>260047.45160182967</v>
      </c>
      <c r="H10" s="289">
        <f>ENS!H52</f>
        <v>346887.86781430338</v>
      </c>
      <c r="I10" s="289">
        <f>ENS!I52</f>
        <v>458283.5758141313</v>
      </c>
      <c r="J10" s="289">
        <f>ENS!J52</f>
        <v>595629.17500344827</v>
      </c>
      <c r="K10" s="289">
        <f>ENS!K52</f>
        <v>757432.74124795268</v>
      </c>
      <c r="L10" s="289">
        <f>ENS!L52</f>
        <v>941142.50804634707</v>
      </c>
      <c r="M10" s="289">
        <f>ENS!M52</f>
        <v>1143601.0224196608</v>
      </c>
      <c r="N10" s="290">
        <f>ENS!N52</f>
        <v>1361866.420663896</v>
      </c>
      <c r="O10" s="301">
        <f>NPV($D$7,E10:N10)+D10</f>
        <v>4473933.1280995756</v>
      </c>
      <c r="R10" s="60"/>
      <c r="S10" s="60"/>
      <c r="T10" s="60"/>
      <c r="U10" s="60"/>
      <c r="V10" s="60"/>
    </row>
    <row r="11" spans="2:22" ht="15.75" thickBot="1" x14ac:dyDescent="0.3">
      <c r="B11" s="381"/>
      <c r="C11" s="288" t="s">
        <v>235</v>
      </c>
      <c r="D11" s="293">
        <v>0</v>
      </c>
      <c r="E11" s="291">
        <v>0</v>
      </c>
      <c r="F11" s="291">
        <v>0</v>
      </c>
      <c r="G11" s="291">
        <v>0</v>
      </c>
      <c r="H11" s="291">
        <v>0</v>
      </c>
      <c r="I11" s="291">
        <v>0</v>
      </c>
      <c r="J11" s="291">
        <v>0</v>
      </c>
      <c r="K11" s="291">
        <v>0</v>
      </c>
      <c r="L11" s="291">
        <v>0</v>
      </c>
      <c r="M11" s="291">
        <v>0</v>
      </c>
      <c r="N11" s="292">
        <v>0</v>
      </c>
      <c r="O11" s="302">
        <f>NPV($D$7,E11:N11)+D11</f>
        <v>0</v>
      </c>
      <c r="R11" s="60"/>
      <c r="S11" s="60"/>
      <c r="T11" s="60"/>
      <c r="U11" s="60"/>
      <c r="V11" s="60"/>
    </row>
    <row r="12" spans="2:22" ht="15.75" thickBot="1" x14ac:dyDescent="0.3">
      <c r="B12" s="382"/>
      <c r="C12" s="295" t="s">
        <v>46</v>
      </c>
      <c r="D12" s="296">
        <f>D10+D11</f>
        <v>101683.99443260007</v>
      </c>
      <c r="E12" s="296">
        <f t="shared" ref="E12:N12" si="0">E10+E11</f>
        <v>141631.45606023271</v>
      </c>
      <c r="F12" s="296">
        <f t="shared" si="0"/>
        <v>193217.60252257856</v>
      </c>
      <c r="G12" s="296">
        <f t="shared" si="0"/>
        <v>260047.45160182967</v>
      </c>
      <c r="H12" s="296">
        <f t="shared" si="0"/>
        <v>346887.86781430338</v>
      </c>
      <c r="I12" s="296">
        <f t="shared" si="0"/>
        <v>458283.5758141313</v>
      </c>
      <c r="J12" s="296">
        <f t="shared" si="0"/>
        <v>595629.17500344827</v>
      </c>
      <c r="K12" s="296">
        <f t="shared" si="0"/>
        <v>757432.74124795268</v>
      </c>
      <c r="L12" s="296">
        <f t="shared" si="0"/>
        <v>941142.50804634707</v>
      </c>
      <c r="M12" s="296">
        <f t="shared" si="0"/>
        <v>1143601.0224196608</v>
      </c>
      <c r="N12" s="297">
        <f t="shared" si="0"/>
        <v>1361866.420663896</v>
      </c>
      <c r="O12" s="303">
        <f>NPV($D$7,E12:N12)+D12</f>
        <v>4473933.1280995756</v>
      </c>
      <c r="R12" s="60"/>
      <c r="S12" s="60"/>
      <c r="T12" s="60"/>
      <c r="U12" s="60"/>
      <c r="V12" s="60"/>
    </row>
    <row r="13" spans="2:22" x14ac:dyDescent="0.25">
      <c r="D13" s="231"/>
      <c r="E13" s="231"/>
      <c r="F13" s="231"/>
      <c r="G13" s="231"/>
      <c r="H13" s="231"/>
      <c r="I13" s="231"/>
      <c r="J13" s="231"/>
      <c r="K13" s="231"/>
      <c r="L13" s="231"/>
      <c r="M13" s="231"/>
      <c r="N13" s="231"/>
      <c r="O13" s="231"/>
    </row>
    <row r="14" spans="2:22" ht="15.75" thickBot="1" x14ac:dyDescent="0.3">
      <c r="D14" s="231"/>
      <c r="E14" s="231"/>
      <c r="F14" s="231"/>
      <c r="G14" s="231"/>
      <c r="H14" s="231"/>
      <c r="I14" s="231"/>
      <c r="J14" s="231"/>
      <c r="K14" s="231"/>
      <c r="L14" s="231"/>
      <c r="M14" s="231"/>
      <c r="N14" s="231"/>
    </row>
    <row r="15" spans="2:22" ht="15" customHeight="1" x14ac:dyDescent="0.25">
      <c r="B15" s="389" t="s">
        <v>49</v>
      </c>
      <c r="C15" s="308"/>
      <c r="D15" s="309">
        <v>2020</v>
      </c>
      <c r="E15" s="309">
        <v>2021</v>
      </c>
      <c r="F15" s="309">
        <v>2022</v>
      </c>
      <c r="G15" s="309">
        <v>2023</v>
      </c>
      <c r="H15" s="309">
        <v>2024</v>
      </c>
      <c r="I15" s="309">
        <v>2025</v>
      </c>
      <c r="J15" s="309">
        <v>2026</v>
      </c>
      <c r="K15" s="309">
        <v>2027</v>
      </c>
      <c r="L15" s="309">
        <v>2028</v>
      </c>
      <c r="M15" s="309">
        <v>2029</v>
      </c>
      <c r="N15" s="310">
        <v>2030</v>
      </c>
      <c r="O15" s="300" t="s">
        <v>239</v>
      </c>
    </row>
    <row r="16" spans="2:22" ht="15" customHeight="1" x14ac:dyDescent="0.25">
      <c r="B16" s="390"/>
      <c r="C16" s="287" t="s">
        <v>41</v>
      </c>
      <c r="D16" s="289">
        <f>ENS!D53</f>
        <v>8752.4888095522965</v>
      </c>
      <c r="E16" s="289">
        <f>ENS!E53</f>
        <v>9303.7199224670676</v>
      </c>
      <c r="F16" s="289">
        <f>ENS!F53</f>
        <v>9889.6675310503215</v>
      </c>
      <c r="G16" s="289">
        <f>ENS!G53</f>
        <v>10512.518077691213</v>
      </c>
      <c r="H16" s="289">
        <f>ENS!H53</f>
        <v>11174.595706762619</v>
      </c>
      <c r="I16" s="289">
        <f>ENS!I53</f>
        <v>11878.370937082107</v>
      </c>
      <c r="J16" s="289">
        <f>ENS!J53</f>
        <v>12626.469880563896</v>
      </c>
      <c r="K16" s="289">
        <f>ENS!K53</f>
        <v>13421.684041460845</v>
      </c>
      <c r="L16" s="289">
        <f>ENS!L53</f>
        <v>14266.980732761993</v>
      </c>
      <c r="M16" s="289">
        <f>ENS!M53</f>
        <v>15165.514148614062</v>
      </c>
      <c r="N16" s="290">
        <f>ENS!N53</f>
        <v>16120.637134083247</v>
      </c>
      <c r="O16" s="301">
        <f>NPV($D$7,E16:N16)+D16</f>
        <v>102454.44385634936</v>
      </c>
    </row>
    <row r="17" spans="2:15" ht="15.75" customHeight="1" thickBot="1" x14ac:dyDescent="0.3">
      <c r="B17" s="390"/>
      <c r="C17" s="288" t="s">
        <v>235</v>
      </c>
      <c r="D17" s="293">
        <f>'PRE Alternativa 1'!$G$55</f>
        <v>639754.55833754246</v>
      </c>
      <c r="E17" s="291">
        <v>0</v>
      </c>
      <c r="F17" s="291">
        <v>0</v>
      </c>
      <c r="G17" s="291">
        <v>0</v>
      </c>
      <c r="H17" s="291">
        <v>0</v>
      </c>
      <c r="I17" s="294">
        <f>'PRE Alternativa 1'!J48</f>
        <v>128577</v>
      </c>
      <c r="J17" s="291">
        <v>0</v>
      </c>
      <c r="K17" s="291">
        <v>0</v>
      </c>
      <c r="L17" s="291">
        <v>0</v>
      </c>
      <c r="M17" s="291">
        <v>0</v>
      </c>
      <c r="N17" s="292">
        <v>0</v>
      </c>
      <c r="O17" s="302">
        <f>NPV($D$7,E17:N17)+D17</f>
        <v>740498.00224355748</v>
      </c>
    </row>
    <row r="18" spans="2:15" ht="15.75" customHeight="1" thickBot="1" x14ac:dyDescent="0.3">
      <c r="B18" s="391"/>
      <c r="C18" s="295" t="s">
        <v>46</v>
      </c>
      <c r="D18" s="296">
        <f t="shared" ref="D18:N18" si="1">D16+D17</f>
        <v>648507.04714709474</v>
      </c>
      <c r="E18" s="296">
        <f t="shared" si="1"/>
        <v>9303.7199224670676</v>
      </c>
      <c r="F18" s="296">
        <f t="shared" si="1"/>
        <v>9889.6675310503215</v>
      </c>
      <c r="G18" s="296">
        <f t="shared" si="1"/>
        <v>10512.518077691213</v>
      </c>
      <c r="H18" s="296">
        <f t="shared" si="1"/>
        <v>11174.595706762619</v>
      </c>
      <c r="I18" s="296">
        <f t="shared" si="1"/>
        <v>140455.3709370821</v>
      </c>
      <c r="J18" s="296">
        <f t="shared" si="1"/>
        <v>12626.469880563896</v>
      </c>
      <c r="K18" s="296">
        <f t="shared" si="1"/>
        <v>13421.684041460845</v>
      </c>
      <c r="L18" s="296">
        <f t="shared" si="1"/>
        <v>14266.980732761993</v>
      </c>
      <c r="M18" s="296">
        <f t="shared" si="1"/>
        <v>15165.514148614062</v>
      </c>
      <c r="N18" s="297">
        <f t="shared" si="1"/>
        <v>16120.637134083247</v>
      </c>
      <c r="O18" s="303">
        <f>NPV($D$7,E18:N18)+D18</f>
        <v>842952.44609990681</v>
      </c>
    </row>
    <row r="19" spans="2:15" x14ac:dyDescent="0.25">
      <c r="D19" s="231"/>
      <c r="E19" s="231"/>
      <c r="F19" s="231"/>
      <c r="G19" s="231"/>
      <c r="H19" s="231"/>
      <c r="I19" s="231"/>
      <c r="J19" s="231"/>
      <c r="K19" s="231"/>
      <c r="L19" s="231"/>
      <c r="M19" s="231"/>
      <c r="N19" s="231"/>
      <c r="O19" s="231"/>
    </row>
    <row r="20" spans="2:15" ht="15.75" thickBot="1" x14ac:dyDescent="0.3">
      <c r="D20" s="231"/>
      <c r="E20" s="231"/>
      <c r="F20" s="231"/>
      <c r="G20" s="231"/>
      <c r="H20" s="231"/>
      <c r="I20" s="231"/>
      <c r="J20" s="231"/>
      <c r="K20" s="231"/>
      <c r="L20" s="231"/>
      <c r="M20" s="231"/>
      <c r="N20" s="231"/>
    </row>
    <row r="21" spans="2:15" ht="15" customHeight="1" x14ac:dyDescent="0.25">
      <c r="B21" s="383" t="s">
        <v>50</v>
      </c>
      <c r="C21" s="304"/>
      <c r="D21" s="305">
        <v>2020</v>
      </c>
      <c r="E21" s="305">
        <v>2021</v>
      </c>
      <c r="F21" s="305">
        <v>2022</v>
      </c>
      <c r="G21" s="305">
        <v>2023</v>
      </c>
      <c r="H21" s="305">
        <v>2024</v>
      </c>
      <c r="I21" s="305">
        <v>2025</v>
      </c>
      <c r="J21" s="305">
        <v>2026</v>
      </c>
      <c r="K21" s="305">
        <v>2027</v>
      </c>
      <c r="L21" s="305">
        <v>2028</v>
      </c>
      <c r="M21" s="305">
        <v>2029</v>
      </c>
      <c r="N21" s="299">
        <v>2030</v>
      </c>
      <c r="O21" s="300" t="s">
        <v>239</v>
      </c>
    </row>
    <row r="22" spans="2:15" ht="15" customHeight="1" x14ac:dyDescent="0.25">
      <c r="B22" s="384"/>
      <c r="C22" s="287" t="s">
        <v>41</v>
      </c>
      <c r="D22" s="289">
        <f>ENS!D54</f>
        <v>10081.186910796121</v>
      </c>
      <c r="E22" s="289">
        <f>ENS!E54</f>
        <v>10716.099334137365</v>
      </c>
      <c r="F22" s="289">
        <f>ENS!F54</f>
        <v>11390.998496032316</v>
      </c>
      <c r="G22" s="289">
        <f>ENS!G54</f>
        <v>12108.402758386301</v>
      </c>
      <c r="H22" s="289">
        <f>ENS!H54</f>
        <v>12870.989089355513</v>
      </c>
      <c r="I22" s="289">
        <f>ENS!I54</f>
        <v>13681.603052357228</v>
      </c>
      <c r="J22" s="289">
        <f>ENS!J54</f>
        <v>14543.269424187161</v>
      </c>
      <c r="K22" s="289">
        <f>ENS!K54</f>
        <v>15459.203481865106</v>
      </c>
      <c r="L22" s="289">
        <f>ENS!L54</f>
        <v>16432.823000325287</v>
      </c>
      <c r="M22" s="289">
        <f>ENS!M54</f>
        <v>17467.761005720364</v>
      </c>
      <c r="N22" s="290">
        <f>ENS!N54</f>
        <v>18567.879331927626</v>
      </c>
      <c r="O22" s="301">
        <f>NPV($D$7,E22:N22)+D22</f>
        <v>118007.85134741098</v>
      </c>
    </row>
    <row r="23" spans="2:15" ht="15.75" customHeight="1" thickBot="1" x14ac:dyDescent="0.3">
      <c r="B23" s="384"/>
      <c r="C23" s="288" t="s">
        <v>235</v>
      </c>
      <c r="D23" s="293">
        <f>'PRE Alternativa 2'!$F$7</f>
        <v>1017792.1169230768</v>
      </c>
      <c r="E23" s="291">
        <v>0</v>
      </c>
      <c r="F23" s="291">
        <v>0</v>
      </c>
      <c r="G23" s="291">
        <v>0</v>
      </c>
      <c r="H23" s="291">
        <v>0</v>
      </c>
      <c r="I23" s="291">
        <v>0</v>
      </c>
      <c r="J23" s="291">
        <v>0</v>
      </c>
      <c r="K23" s="291">
        <v>0</v>
      </c>
      <c r="L23" s="291">
        <v>0</v>
      </c>
      <c r="M23" s="291">
        <v>0</v>
      </c>
      <c r="N23" s="292">
        <v>0</v>
      </c>
      <c r="O23" s="302">
        <f>NPV($D$7,E23:N23)+D23</f>
        <v>1017792.1169230768</v>
      </c>
    </row>
    <row r="24" spans="2:15" ht="15.75" customHeight="1" thickBot="1" x14ac:dyDescent="0.3">
      <c r="B24" s="385"/>
      <c r="C24" s="295" t="s">
        <v>46</v>
      </c>
      <c r="D24" s="296">
        <f t="shared" ref="D24:N24" si="2">D22+D23</f>
        <v>1027873.3038338729</v>
      </c>
      <c r="E24" s="296">
        <f t="shared" si="2"/>
        <v>10716.099334137365</v>
      </c>
      <c r="F24" s="296">
        <f t="shared" si="2"/>
        <v>11390.998496032316</v>
      </c>
      <c r="G24" s="296">
        <f t="shared" si="2"/>
        <v>12108.402758386301</v>
      </c>
      <c r="H24" s="296">
        <f t="shared" si="2"/>
        <v>12870.989089355513</v>
      </c>
      <c r="I24" s="296">
        <f t="shared" si="2"/>
        <v>13681.603052357228</v>
      </c>
      <c r="J24" s="296">
        <f t="shared" si="2"/>
        <v>14543.269424187161</v>
      </c>
      <c r="K24" s="296">
        <f t="shared" si="2"/>
        <v>15459.203481865106</v>
      </c>
      <c r="L24" s="296">
        <f t="shared" si="2"/>
        <v>16432.823000325287</v>
      </c>
      <c r="M24" s="296">
        <f t="shared" si="2"/>
        <v>17467.761005720364</v>
      </c>
      <c r="N24" s="297">
        <f t="shared" si="2"/>
        <v>18567.879331927626</v>
      </c>
      <c r="O24" s="303">
        <f>NPV($D$7,E24:N24)+D24</f>
        <v>1135799.9682704879</v>
      </c>
    </row>
    <row r="25" spans="2:15" ht="15" customHeight="1" x14ac:dyDescent="0.25">
      <c r="D25" s="231"/>
      <c r="E25" s="231"/>
      <c r="F25" s="231"/>
      <c r="G25" s="231"/>
      <c r="H25" s="231"/>
      <c r="I25" s="231"/>
      <c r="J25" s="231"/>
      <c r="K25" s="231"/>
      <c r="L25" s="231"/>
      <c r="M25" s="231"/>
      <c r="N25" s="231"/>
      <c r="O25" s="231"/>
    </row>
    <row r="26" spans="2:15" ht="15.75" customHeight="1" thickBot="1" x14ac:dyDescent="0.3">
      <c r="D26" s="231"/>
      <c r="E26" s="231"/>
      <c r="F26" s="231"/>
      <c r="G26" s="231"/>
      <c r="H26" s="231"/>
      <c r="I26" s="231"/>
      <c r="J26" s="231"/>
      <c r="K26" s="231"/>
      <c r="L26" s="231"/>
      <c r="M26" s="231"/>
    </row>
    <row r="27" spans="2:15" ht="15" customHeight="1" x14ac:dyDescent="0.25">
      <c r="B27" s="386" t="s">
        <v>233</v>
      </c>
      <c r="C27" s="311"/>
      <c r="D27" s="312">
        <v>2020</v>
      </c>
      <c r="E27" s="312">
        <v>2021</v>
      </c>
      <c r="F27" s="312">
        <v>2022</v>
      </c>
      <c r="G27" s="312">
        <v>2023</v>
      </c>
      <c r="H27" s="312">
        <v>2024</v>
      </c>
      <c r="I27" s="312">
        <v>2025</v>
      </c>
      <c r="J27" s="312">
        <v>2026</v>
      </c>
      <c r="K27" s="312">
        <v>2027</v>
      </c>
      <c r="L27" s="312">
        <v>2028</v>
      </c>
      <c r="M27" s="312">
        <v>2029</v>
      </c>
      <c r="N27" s="313">
        <v>2030</v>
      </c>
      <c r="O27" s="300" t="s">
        <v>239</v>
      </c>
    </row>
    <row r="28" spans="2:15" ht="15" customHeight="1" x14ac:dyDescent="0.25">
      <c r="B28" s="387"/>
      <c r="C28" s="287" t="s">
        <v>41</v>
      </c>
      <c r="D28" s="289">
        <f>ENS!D55</f>
        <v>5698.0621669717193</v>
      </c>
      <c r="E28" s="289">
        <f>ENS!E55</f>
        <v>6056.9257105993793</v>
      </c>
      <c r="F28" s="289">
        <f>ENS!F55</f>
        <v>6438.3904542791342</v>
      </c>
      <c r="G28" s="289">
        <f>ENS!G55</f>
        <v>6843.879819957473</v>
      </c>
      <c r="H28" s="289">
        <f>ENS!H55</f>
        <v>7274.9068765922448</v>
      </c>
      <c r="I28" s="289">
        <f>ENS!I55</f>
        <v>7733.0799861149535</v>
      </c>
      <c r="J28" s="289">
        <f>ENS!J55</f>
        <v>8220.1088049753507</v>
      </c>
      <c r="K28" s="289">
        <f>ENS!K55</f>
        <v>8737.8106636628854</v>
      </c>
      <c r="L28" s="289">
        <f>ENS!L55</f>
        <v>9288.1173480099424</v>
      </c>
      <c r="M28" s="289">
        <f>ENS!M55</f>
        <v>9873.0823075810731</v>
      </c>
      <c r="N28" s="290">
        <f>ENS!N55</f>
        <v>10494.888318046047</v>
      </c>
      <c r="O28" s="301">
        <f>NPV($D$7,E28:N28)+D28</f>
        <v>66700.08989201489</v>
      </c>
    </row>
    <row r="29" spans="2:15" ht="15.75" customHeight="1" thickBot="1" x14ac:dyDescent="0.3">
      <c r="B29" s="387"/>
      <c r="C29" s="288" t="s">
        <v>235</v>
      </c>
      <c r="D29" s="293">
        <f>'PRE Alternativa 3'!$F$8</f>
        <v>2142478.7328496524</v>
      </c>
      <c r="E29" s="291">
        <v>0</v>
      </c>
      <c r="F29" s="291">
        <v>0</v>
      </c>
      <c r="G29" s="291">
        <v>0</v>
      </c>
      <c r="H29" s="291">
        <v>0</v>
      </c>
      <c r="I29" s="291">
        <v>0</v>
      </c>
      <c r="J29" s="291">
        <v>0</v>
      </c>
      <c r="K29" s="291">
        <v>0</v>
      </c>
      <c r="L29" s="291">
        <v>0</v>
      </c>
      <c r="M29" s="291">
        <v>0</v>
      </c>
      <c r="N29" s="292">
        <v>0</v>
      </c>
      <c r="O29" s="302">
        <f>NPV($D$7,E29:N29)+D29</f>
        <v>2142478.7328496524</v>
      </c>
    </row>
    <row r="30" spans="2:15" ht="15.75" customHeight="1" thickBot="1" x14ac:dyDescent="0.3">
      <c r="B30" s="388"/>
      <c r="C30" s="295" t="s">
        <v>46</v>
      </c>
      <c r="D30" s="296">
        <f>D28+D29</f>
        <v>2148176.795016624</v>
      </c>
      <c r="E30" s="296">
        <f t="shared" ref="E30:N30" si="3">E28+E29</f>
        <v>6056.9257105993793</v>
      </c>
      <c r="F30" s="296">
        <f t="shared" si="3"/>
        <v>6438.3904542791342</v>
      </c>
      <c r="G30" s="296">
        <f t="shared" si="3"/>
        <v>6843.879819957473</v>
      </c>
      <c r="H30" s="296">
        <f t="shared" si="3"/>
        <v>7274.9068765922448</v>
      </c>
      <c r="I30" s="296">
        <f t="shared" si="3"/>
        <v>7733.0799861149535</v>
      </c>
      <c r="J30" s="296">
        <f t="shared" si="3"/>
        <v>8220.1088049753507</v>
      </c>
      <c r="K30" s="296">
        <f t="shared" si="3"/>
        <v>8737.8106636628854</v>
      </c>
      <c r="L30" s="296">
        <f t="shared" si="3"/>
        <v>9288.1173480099424</v>
      </c>
      <c r="M30" s="296">
        <f t="shared" si="3"/>
        <v>9873.0823075810731</v>
      </c>
      <c r="N30" s="297">
        <f t="shared" si="3"/>
        <v>10494.888318046047</v>
      </c>
      <c r="O30" s="303">
        <f>NPV($D$7,E30:N30)+D30</f>
        <v>2209178.8227416673</v>
      </c>
    </row>
  </sheetData>
  <mergeCells count="5">
    <mergeCell ref="B9:B12"/>
    <mergeCell ref="B21:B24"/>
    <mergeCell ref="B27:B30"/>
    <mergeCell ref="B15:B18"/>
    <mergeCell ref="Q8:V8"/>
  </mergeCells>
  <pageMargins left="0.7" right="0.7" top="0.75" bottom="0.75" header="0.3" footer="0.3"/>
  <pageSetup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7"/>
  <sheetViews>
    <sheetView showGridLines="0" tabSelected="1" workbookViewId="0">
      <selection activeCell="F17" sqref="F17"/>
    </sheetView>
  </sheetViews>
  <sheetFormatPr baseColWidth="10" defaultRowHeight="15" x14ac:dyDescent="0.25"/>
  <cols>
    <col min="2" max="2" width="14.7109375" customWidth="1"/>
    <col min="3" max="3" width="38.42578125" bestFit="1" customWidth="1"/>
    <col min="4" max="6" width="19.28515625" customWidth="1"/>
    <col min="7" max="7" width="16.5703125" customWidth="1"/>
  </cols>
  <sheetData>
    <row r="1" spans="2:6" ht="15.75" thickBot="1" x14ac:dyDescent="0.3"/>
    <row r="2" spans="2:6" ht="18.75" x14ac:dyDescent="0.25">
      <c r="B2" s="393" t="s">
        <v>242</v>
      </c>
      <c r="C2" s="394"/>
      <c r="D2" s="394"/>
      <c r="E2" s="394"/>
      <c r="F2" s="395"/>
    </row>
    <row r="3" spans="2:6" ht="30" x14ac:dyDescent="0.25">
      <c r="B3" s="331" t="s">
        <v>247</v>
      </c>
      <c r="C3" s="332" t="s">
        <v>105</v>
      </c>
      <c r="D3" s="332" t="s">
        <v>45</v>
      </c>
      <c r="E3" s="332" t="s">
        <v>240</v>
      </c>
      <c r="F3" s="333" t="s">
        <v>241</v>
      </c>
    </row>
    <row r="4" spans="2:6" x14ac:dyDescent="0.25">
      <c r="B4" s="327" t="s">
        <v>38</v>
      </c>
      <c r="C4" s="328" t="s">
        <v>243</v>
      </c>
      <c r="D4" s="329">
        <v>0</v>
      </c>
      <c r="E4" s="329">
        <f>VPC!$O$10</f>
        <v>4473933.1280995756</v>
      </c>
      <c r="F4" s="330">
        <f>D4+E4</f>
        <v>4473933.1280995756</v>
      </c>
    </row>
    <row r="5" spans="2:6" x14ac:dyDescent="0.25">
      <c r="B5" s="318" t="s">
        <v>30</v>
      </c>
      <c r="C5" s="319" t="s">
        <v>244</v>
      </c>
      <c r="D5" s="320">
        <f>VPC!$O$17</f>
        <v>740498.00224355748</v>
      </c>
      <c r="E5" s="320">
        <f>VPC!$O$16</f>
        <v>102454.44385634936</v>
      </c>
      <c r="F5" s="324">
        <f>D5+E5</f>
        <v>842952.44609990681</v>
      </c>
    </row>
    <row r="6" spans="2:6" x14ac:dyDescent="0.25">
      <c r="B6" s="317" t="s">
        <v>31</v>
      </c>
      <c r="C6" s="315" t="s">
        <v>245</v>
      </c>
      <c r="D6" s="316">
        <f>VPC!$O$23</f>
        <v>1017792.1169230768</v>
      </c>
      <c r="E6" s="316">
        <f>VPC!$O$22</f>
        <v>118007.85134741098</v>
      </c>
      <c r="F6" s="325">
        <f>D6+E6</f>
        <v>1135799.9682704879</v>
      </c>
    </row>
    <row r="7" spans="2:6" ht="15.75" thickBot="1" x14ac:dyDescent="0.3">
      <c r="B7" s="321" t="s">
        <v>32</v>
      </c>
      <c r="C7" s="322" t="s">
        <v>246</v>
      </c>
      <c r="D7" s="323">
        <f>VPC!$O$29</f>
        <v>2142478.7328496524</v>
      </c>
      <c r="E7" s="323">
        <f>VPC!$O$28</f>
        <v>66700.08989201489</v>
      </c>
      <c r="F7" s="326">
        <f>D7+E7</f>
        <v>2209178.8227416673</v>
      </c>
    </row>
  </sheetData>
  <mergeCells count="1">
    <mergeCell ref="B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Confiabilidad</vt:lpstr>
      <vt:lpstr>ENS</vt:lpstr>
      <vt:lpstr>ENS (2)</vt:lpstr>
      <vt:lpstr>PRE Alternativa 1</vt:lpstr>
      <vt:lpstr>Obra A1</vt:lpstr>
      <vt:lpstr>PRE Alternativa 2</vt:lpstr>
      <vt:lpstr>PRE Alternativa 3</vt:lpstr>
      <vt:lpstr>VPC</vt:lpstr>
      <vt:lpstr>RESUMEN VPC</vt:lpstr>
      <vt:lpstr>ENS!Área_de_impresión</vt:lpstr>
      <vt:lpstr>'ENS (2)'!Área_de_impresión</vt:lpstr>
      <vt:lpstr>'Obra A1'!Área_de_impresión</vt:lpstr>
      <vt:lpstr>'PRE Alternativa 1'!Área_de_impresión</vt:lpstr>
      <vt:lpstr>'PRE Alternativa 2'!Área_de_impresión</vt:lpstr>
      <vt:lpstr>'PRE Alternativa 3'!Área_de_impresión</vt:lpstr>
      <vt:lpstr>VPC!Área_de_impresión</vt:lpstr>
      <vt:lpstr>'Obra 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2020-03-05T18:11:43Z</dcterms:modified>
</cp:coreProperties>
</file>