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orellam\Desktop\"/>
    </mc:Choice>
  </mc:AlternateContent>
  <xr:revisionPtr revIDLastSave="0" documentId="8_{942DF30E-F170-41E3-82C2-D4ED5ED14A7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Flujo de Caja" sheetId="1" r:id="rId1"/>
    <sheet name="Plan de Produccion" sheetId="2" r:id="rId2"/>
    <sheet name="Costos Variables" sheetId="3" r:id="rId3"/>
    <sheet name="Costos Fijos" sheetId="4" r:id="rId4"/>
    <sheet name="Credito" sheetId="5" r:id="rId5"/>
    <sheet name="Capacidad de Trabajo" sheetId="6" r:id="rId6"/>
    <sheet name="Amortizacion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I26" i="1"/>
  <c r="D11" i="7" l="1"/>
  <c r="B15" i="7" s="1"/>
  <c r="Q8" i="7"/>
  <c r="E6" i="7"/>
  <c r="D6" i="7"/>
  <c r="P5" i="7"/>
  <c r="O5" i="7"/>
  <c r="N5" i="7"/>
  <c r="M5" i="7"/>
  <c r="K5" i="7"/>
  <c r="L5" i="7" s="1"/>
  <c r="J5" i="7"/>
  <c r="I5" i="7"/>
  <c r="H5" i="7"/>
  <c r="G5" i="7"/>
  <c r="P4" i="7"/>
  <c r="N4" i="7"/>
  <c r="L4" i="7"/>
  <c r="K4" i="7"/>
  <c r="O4" i="7" s="1"/>
  <c r="J4" i="7"/>
  <c r="I4" i="7"/>
  <c r="H4" i="7"/>
  <c r="G4" i="7"/>
  <c r="P3" i="7"/>
  <c r="P6" i="7" s="1"/>
  <c r="O3" i="7"/>
  <c r="O6" i="7" s="1"/>
  <c r="N3" i="7"/>
  <c r="N6" i="7" s="1"/>
  <c r="M3" i="7"/>
  <c r="L3" i="7"/>
  <c r="K3" i="7"/>
  <c r="K6" i="7" s="1"/>
  <c r="J3" i="7"/>
  <c r="J6" i="7" s="1"/>
  <c r="I3" i="7"/>
  <c r="H3" i="7"/>
  <c r="G3" i="7"/>
  <c r="Q3" i="7" l="1"/>
  <c r="H6" i="7"/>
  <c r="I6" i="7"/>
  <c r="Q5" i="7"/>
  <c r="L6" i="7"/>
  <c r="M4" i="7"/>
  <c r="Q4" i="7" s="1"/>
  <c r="G6" i="7"/>
  <c r="B14" i="7"/>
  <c r="B16" i="7" s="1"/>
  <c r="Q16" i="7" l="1"/>
  <c r="M6" i="7"/>
  <c r="Z12" i="1"/>
  <c r="Z11" i="1"/>
  <c r="Y8" i="1"/>
  <c r="Y7" i="1"/>
  <c r="Y4" i="1"/>
  <c r="Y3" i="1"/>
  <c r="A6" i="3" l="1"/>
  <c r="A5" i="3"/>
  <c r="A4" i="3"/>
  <c r="A3" i="3"/>
  <c r="M9" i="1"/>
  <c r="L9" i="1"/>
  <c r="K9" i="1"/>
  <c r="J9" i="1"/>
  <c r="I9" i="1"/>
  <c r="H9" i="1"/>
  <c r="G9" i="1"/>
  <c r="F9" i="1"/>
  <c r="E9" i="1"/>
  <c r="D9" i="1"/>
  <c r="M17" i="1" l="1"/>
  <c r="M4" i="1"/>
  <c r="M10" i="1" s="1"/>
  <c r="L4" i="1"/>
  <c r="L10" i="1" s="1"/>
  <c r="K4" i="1"/>
  <c r="K10" i="1" s="1"/>
  <c r="J4" i="1"/>
  <c r="J10" i="1" s="1"/>
  <c r="I4" i="1"/>
  <c r="I10" i="1" s="1"/>
  <c r="H4" i="1"/>
  <c r="H10" i="1" s="1"/>
  <c r="G4" i="1"/>
  <c r="G10" i="1" s="1"/>
  <c r="F4" i="1"/>
  <c r="F10" i="1" s="1"/>
  <c r="E4" i="1"/>
  <c r="E10" i="1" s="1"/>
  <c r="D4" i="1"/>
  <c r="D10" i="1" s="1"/>
  <c r="C19" i="1" l="1"/>
  <c r="D10" i="5"/>
  <c r="D12" i="5" s="1"/>
  <c r="E11" i="5"/>
  <c r="F11" i="5"/>
  <c r="G11" i="5"/>
  <c r="H11" i="5"/>
  <c r="I11" i="5"/>
  <c r="J11" i="5"/>
  <c r="K11" i="5"/>
  <c r="L11" i="5"/>
  <c r="M11" i="5"/>
  <c r="D11" i="5"/>
  <c r="D14" i="5" s="1"/>
  <c r="E14" i="5" l="1"/>
  <c r="E10" i="5"/>
  <c r="E12" i="5" s="1"/>
  <c r="C22" i="1"/>
  <c r="B20" i="4"/>
  <c r="D19" i="4"/>
  <c r="E19" i="4"/>
  <c r="F19" i="4"/>
  <c r="G19" i="4"/>
  <c r="H19" i="4"/>
  <c r="I19" i="4"/>
  <c r="J19" i="4"/>
  <c r="K19" i="4"/>
  <c r="L19" i="4"/>
  <c r="M19" i="4"/>
  <c r="F15" i="4"/>
  <c r="G15" i="4"/>
  <c r="H15" i="4"/>
  <c r="I15" i="4"/>
  <c r="J15" i="4"/>
  <c r="K15" i="4"/>
  <c r="L15" i="4"/>
  <c r="M15" i="4"/>
  <c r="F14" i="4"/>
  <c r="G14" i="4"/>
  <c r="H14" i="4"/>
  <c r="I14" i="4"/>
  <c r="J14" i="4"/>
  <c r="K14" i="4"/>
  <c r="L14" i="4"/>
  <c r="M14" i="4"/>
  <c r="D9" i="4"/>
  <c r="E9" i="4"/>
  <c r="F9" i="4"/>
  <c r="G9" i="4"/>
  <c r="H9" i="4"/>
  <c r="I9" i="4"/>
  <c r="J9" i="4"/>
  <c r="K9" i="4"/>
  <c r="L9" i="4"/>
  <c r="M9" i="4"/>
  <c r="D8" i="4"/>
  <c r="E8" i="4"/>
  <c r="F8" i="4"/>
  <c r="G8" i="4"/>
  <c r="H8" i="4"/>
  <c r="I8" i="4"/>
  <c r="J8" i="4"/>
  <c r="K8" i="4"/>
  <c r="L8" i="4"/>
  <c r="M8" i="4"/>
  <c r="D7" i="4"/>
  <c r="E7" i="4"/>
  <c r="F7" i="4"/>
  <c r="G7" i="4"/>
  <c r="H7" i="4"/>
  <c r="I7" i="4"/>
  <c r="J7" i="4"/>
  <c r="K7" i="4"/>
  <c r="L7" i="4"/>
  <c r="M7" i="4"/>
  <c r="E5" i="4"/>
  <c r="F5" i="4"/>
  <c r="G5" i="4"/>
  <c r="H5" i="4"/>
  <c r="I5" i="4"/>
  <c r="J5" i="4"/>
  <c r="K5" i="4"/>
  <c r="L5" i="4"/>
  <c r="M5" i="4"/>
  <c r="D3" i="4"/>
  <c r="E3" i="4"/>
  <c r="C3" i="4"/>
  <c r="D32" i="4"/>
  <c r="I31" i="4"/>
  <c r="H31" i="4"/>
  <c r="G31" i="4"/>
  <c r="Q31" i="4" s="1"/>
  <c r="F31" i="4"/>
  <c r="K31" i="4" s="1"/>
  <c r="E31" i="4"/>
  <c r="Q30" i="4"/>
  <c r="P30" i="4"/>
  <c r="O30" i="4"/>
  <c r="N30" i="4"/>
  <c r="M30" i="4"/>
  <c r="L30" i="4"/>
  <c r="K30" i="4"/>
  <c r="J30" i="4"/>
  <c r="I30" i="4"/>
  <c r="H30" i="4"/>
  <c r="I29" i="4"/>
  <c r="H29" i="4"/>
  <c r="G29" i="4"/>
  <c r="P29" i="4" s="1"/>
  <c r="F29" i="4"/>
  <c r="J29" i="4" s="1"/>
  <c r="E29" i="4"/>
  <c r="I28" i="4"/>
  <c r="H28" i="4"/>
  <c r="G28" i="4"/>
  <c r="F28" i="4"/>
  <c r="K28" i="4" s="1"/>
  <c r="E28" i="4"/>
  <c r="E32" i="4" s="1"/>
  <c r="Q27" i="4"/>
  <c r="P27" i="4"/>
  <c r="O27" i="4"/>
  <c r="N27" i="4"/>
  <c r="M27" i="4"/>
  <c r="L27" i="4"/>
  <c r="K27" i="4"/>
  <c r="J27" i="4"/>
  <c r="I27" i="4"/>
  <c r="H27" i="4"/>
  <c r="D18" i="4"/>
  <c r="H18" i="4" s="1"/>
  <c r="L18" i="4" s="1"/>
  <c r="E18" i="4"/>
  <c r="I18" i="4" s="1"/>
  <c r="M18" i="4" s="1"/>
  <c r="D16" i="4"/>
  <c r="E16" i="4"/>
  <c r="D15" i="4"/>
  <c r="E15" i="4"/>
  <c r="D14" i="4"/>
  <c r="E14" i="4"/>
  <c r="D13" i="4"/>
  <c r="E13" i="4"/>
  <c r="D11" i="4"/>
  <c r="E11" i="4"/>
  <c r="D10" i="4"/>
  <c r="E10" i="4"/>
  <c r="D5" i="4"/>
  <c r="D4" i="4"/>
  <c r="E4" i="4"/>
  <c r="C19" i="4"/>
  <c r="C18" i="4"/>
  <c r="G18" i="4" s="1"/>
  <c r="K18" i="4" s="1"/>
  <c r="C16" i="4"/>
  <c r="I16" i="4" s="1"/>
  <c r="C15" i="4"/>
  <c r="C14" i="4"/>
  <c r="C13" i="4"/>
  <c r="I13" i="4" s="1"/>
  <c r="C11" i="4"/>
  <c r="I11" i="4" s="1"/>
  <c r="C10" i="4"/>
  <c r="I10" i="4" s="1"/>
  <c r="C9" i="4"/>
  <c r="C8" i="4"/>
  <c r="C7" i="4"/>
  <c r="C5" i="4"/>
  <c r="C4" i="4"/>
  <c r="J4" i="4" s="1"/>
  <c r="G32" i="4" l="1"/>
  <c r="F10" i="5"/>
  <c r="F12" i="5" s="1"/>
  <c r="F14" i="5"/>
  <c r="E20" i="4"/>
  <c r="D20" i="4"/>
  <c r="P28" i="4"/>
  <c r="I32" i="4"/>
  <c r="H32" i="4"/>
  <c r="L28" i="4"/>
  <c r="L31" i="4"/>
  <c r="P31" i="4"/>
  <c r="K29" i="4"/>
  <c r="K32" i="4" s="1"/>
  <c r="F4" i="4"/>
  <c r="L4" i="4"/>
  <c r="N28" i="4"/>
  <c r="N31" i="4"/>
  <c r="G4" i="4"/>
  <c r="M4" i="4"/>
  <c r="K4" i="4"/>
  <c r="I4" i="4"/>
  <c r="I20" i="4" s="1"/>
  <c r="F11" i="4"/>
  <c r="H11" i="4"/>
  <c r="L11" i="4"/>
  <c r="J11" i="4"/>
  <c r="F10" i="4"/>
  <c r="H10" i="4"/>
  <c r="L10" i="4"/>
  <c r="J10" i="4"/>
  <c r="F13" i="4"/>
  <c r="H13" i="4"/>
  <c r="L13" i="4"/>
  <c r="J13" i="4"/>
  <c r="F16" i="4"/>
  <c r="H16" i="4"/>
  <c r="L16" i="4"/>
  <c r="J16" i="4"/>
  <c r="F18" i="4"/>
  <c r="J18" i="4" s="1"/>
  <c r="H4" i="4"/>
  <c r="G11" i="4"/>
  <c r="M11" i="4"/>
  <c r="K11" i="4"/>
  <c r="G10" i="4"/>
  <c r="M10" i="4"/>
  <c r="K10" i="4"/>
  <c r="G13" i="4"/>
  <c r="M13" i="4"/>
  <c r="K13" i="4"/>
  <c r="G16" i="4"/>
  <c r="M16" i="4"/>
  <c r="K16" i="4"/>
  <c r="P32" i="4"/>
  <c r="J28" i="4"/>
  <c r="F32" i="4"/>
  <c r="M29" i="4"/>
  <c r="O29" i="4"/>
  <c r="Q29" i="4"/>
  <c r="J31" i="4"/>
  <c r="M28" i="4"/>
  <c r="O28" i="4"/>
  <c r="Q28" i="4"/>
  <c r="Q32" i="4" s="1"/>
  <c r="L29" i="4"/>
  <c r="N29" i="4"/>
  <c r="M31" i="4"/>
  <c r="O31" i="4"/>
  <c r="N32" i="4" l="1"/>
  <c r="M32" i="4"/>
  <c r="G10" i="5"/>
  <c r="G12" i="5" s="1"/>
  <c r="G14" i="5"/>
  <c r="O32" i="4"/>
  <c r="J32" i="4"/>
  <c r="L32" i="4"/>
  <c r="H20" i="4"/>
  <c r="J20" i="4"/>
  <c r="M20" i="4"/>
  <c r="L20" i="4"/>
  <c r="K20" i="4"/>
  <c r="G20" i="4"/>
  <c r="F20" i="4"/>
  <c r="P14" i="3"/>
  <c r="H14" i="5" l="1"/>
  <c r="H10" i="5"/>
  <c r="H12" i="5" s="1"/>
  <c r="H19" i="3"/>
  <c r="I19" i="3"/>
  <c r="J19" i="3"/>
  <c r="K19" i="3"/>
  <c r="L19" i="3"/>
  <c r="M19" i="3"/>
  <c r="N19" i="3"/>
  <c r="O19" i="3"/>
  <c r="P19" i="3"/>
  <c r="G19" i="3"/>
  <c r="H18" i="3"/>
  <c r="I18" i="3"/>
  <c r="J18" i="3"/>
  <c r="K18" i="3"/>
  <c r="L18" i="3"/>
  <c r="M18" i="3"/>
  <c r="N18" i="3"/>
  <c r="O18" i="3"/>
  <c r="P18" i="3"/>
  <c r="G18" i="3"/>
  <c r="H17" i="3"/>
  <c r="I17" i="3"/>
  <c r="J17" i="3"/>
  <c r="K17" i="3"/>
  <c r="L17" i="3"/>
  <c r="M17" i="3"/>
  <c r="N17" i="3"/>
  <c r="O17" i="3"/>
  <c r="P17" i="3"/>
  <c r="G17" i="3"/>
  <c r="H16" i="3"/>
  <c r="I16" i="3"/>
  <c r="J16" i="3"/>
  <c r="K16" i="3"/>
  <c r="L16" i="3"/>
  <c r="M16" i="3"/>
  <c r="N16" i="3"/>
  <c r="O16" i="3"/>
  <c r="P16" i="3"/>
  <c r="G16" i="3"/>
  <c r="H15" i="3"/>
  <c r="I15" i="3"/>
  <c r="J15" i="3"/>
  <c r="K15" i="3"/>
  <c r="L15" i="3"/>
  <c r="M15" i="3"/>
  <c r="N15" i="3"/>
  <c r="O15" i="3"/>
  <c r="P15" i="3"/>
  <c r="P20" i="3" s="1"/>
  <c r="K45" i="3" s="1"/>
  <c r="G15" i="3"/>
  <c r="H14" i="3"/>
  <c r="I14" i="3"/>
  <c r="J14" i="3"/>
  <c r="J20" i="3" s="1"/>
  <c r="E45" i="3" s="1"/>
  <c r="K14" i="3"/>
  <c r="K20" i="3" s="1"/>
  <c r="F45" i="3" s="1"/>
  <c r="L14" i="3"/>
  <c r="M14" i="3"/>
  <c r="N14" i="3"/>
  <c r="N20" i="3" s="1"/>
  <c r="I45" i="3" s="1"/>
  <c r="O14" i="3"/>
  <c r="O20" i="3" s="1"/>
  <c r="J45" i="3" s="1"/>
  <c r="G14" i="3"/>
  <c r="S21" i="3"/>
  <c r="D37" i="3"/>
  <c r="D36" i="3"/>
  <c r="D35" i="3"/>
  <c r="D34" i="3"/>
  <c r="D33" i="3"/>
  <c r="D32" i="3"/>
  <c r="D26" i="3"/>
  <c r="D25" i="3"/>
  <c r="D24" i="3"/>
  <c r="D19" i="3"/>
  <c r="E19" i="3" s="1"/>
  <c r="D18" i="3"/>
  <c r="E18" i="3" s="1"/>
  <c r="D17" i="3"/>
  <c r="E17" i="3" s="1"/>
  <c r="D16" i="3"/>
  <c r="E16" i="3" s="1"/>
  <c r="D15" i="3"/>
  <c r="E15" i="3" s="1"/>
  <c r="D14" i="3"/>
  <c r="C7" i="3"/>
  <c r="D6" i="3"/>
  <c r="E6" i="3" s="1"/>
  <c r="F6" i="3" s="1"/>
  <c r="H6" i="3" s="1"/>
  <c r="D5" i="3"/>
  <c r="E5" i="3" s="1"/>
  <c r="F5" i="3" s="1"/>
  <c r="H5" i="3" s="1"/>
  <c r="D4" i="3"/>
  <c r="E4" i="3" s="1"/>
  <c r="F4" i="3" s="1"/>
  <c r="H4" i="3" s="1"/>
  <c r="D3" i="3"/>
  <c r="E3" i="3" s="1"/>
  <c r="M68" i="2"/>
  <c r="L68" i="2"/>
  <c r="K68" i="2"/>
  <c r="J68" i="2"/>
  <c r="I68" i="2"/>
  <c r="H68" i="2"/>
  <c r="G68" i="2"/>
  <c r="F68" i="2"/>
  <c r="E68" i="2"/>
  <c r="D68" i="2"/>
  <c r="C68" i="2"/>
  <c r="B68" i="2"/>
  <c r="N66" i="2"/>
  <c r="N61" i="2"/>
  <c r="N59" i="2"/>
  <c r="N54" i="2"/>
  <c r="N52" i="2"/>
  <c r="N47" i="2"/>
  <c r="N45" i="2"/>
  <c r="N40" i="2"/>
  <c r="N38" i="2"/>
  <c r="G34" i="2"/>
  <c r="F34" i="2"/>
  <c r="E34" i="2"/>
  <c r="D34" i="2"/>
  <c r="C34" i="2"/>
  <c r="B34" i="2"/>
  <c r="M33" i="2"/>
  <c r="L33" i="2"/>
  <c r="K33" i="2"/>
  <c r="J33" i="2"/>
  <c r="I33" i="2"/>
  <c r="H33" i="2"/>
  <c r="G33" i="2"/>
  <c r="F33" i="2"/>
  <c r="E33" i="2"/>
  <c r="D33" i="2"/>
  <c r="C33" i="2"/>
  <c r="B33" i="2"/>
  <c r="N32" i="2"/>
  <c r="N31" i="2"/>
  <c r="N26" i="2"/>
  <c r="N25" i="2"/>
  <c r="N24" i="2"/>
  <c r="N19" i="2"/>
  <c r="N18" i="2"/>
  <c r="N17" i="2"/>
  <c r="N12" i="2"/>
  <c r="N11" i="2"/>
  <c r="N10" i="2"/>
  <c r="N4" i="2"/>
  <c r="N3" i="2"/>
  <c r="N68" i="2" l="1"/>
  <c r="N33" i="2"/>
  <c r="N34" i="2"/>
  <c r="M20" i="3"/>
  <c r="H45" i="3" s="1"/>
  <c r="I20" i="3"/>
  <c r="D45" i="3" s="1"/>
  <c r="D20" i="3"/>
  <c r="G20" i="3"/>
  <c r="B45" i="3" s="1"/>
  <c r="L20" i="3"/>
  <c r="G45" i="3" s="1"/>
  <c r="H20" i="3"/>
  <c r="C45" i="3" s="1"/>
  <c r="I14" i="5"/>
  <c r="I10" i="5"/>
  <c r="I12" i="5" s="1"/>
  <c r="K25" i="3"/>
  <c r="M25" i="3"/>
  <c r="F25" i="3"/>
  <c r="L25" i="3"/>
  <c r="N25" i="3"/>
  <c r="J25" i="3"/>
  <c r="I25" i="3"/>
  <c r="H25" i="3"/>
  <c r="G25" i="3"/>
  <c r="E25" i="3"/>
  <c r="D38" i="3"/>
  <c r="K32" i="3"/>
  <c r="M32" i="3"/>
  <c r="L32" i="3"/>
  <c r="N32" i="3"/>
  <c r="J32" i="3"/>
  <c r="I32" i="3"/>
  <c r="H32" i="3"/>
  <c r="G32" i="3"/>
  <c r="F32" i="3"/>
  <c r="E32" i="3"/>
  <c r="K34" i="3"/>
  <c r="M34" i="3"/>
  <c r="L34" i="3"/>
  <c r="N34" i="3"/>
  <c r="J34" i="3"/>
  <c r="I34" i="3"/>
  <c r="H34" i="3"/>
  <c r="G34" i="3"/>
  <c r="F34" i="3"/>
  <c r="E34" i="3"/>
  <c r="J36" i="3"/>
  <c r="K36" i="3"/>
  <c r="M36" i="3"/>
  <c r="L36" i="3"/>
  <c r="N36" i="3"/>
  <c r="I36" i="3"/>
  <c r="H36" i="3"/>
  <c r="G36" i="3"/>
  <c r="F36" i="3"/>
  <c r="E36" i="3"/>
  <c r="G5" i="3"/>
  <c r="I4" i="3"/>
  <c r="I5" i="3"/>
  <c r="I6" i="3"/>
  <c r="D27" i="3"/>
  <c r="K24" i="3"/>
  <c r="M24" i="3"/>
  <c r="J24" i="3"/>
  <c r="I24" i="3"/>
  <c r="H24" i="3"/>
  <c r="G24" i="3"/>
  <c r="E24" i="3"/>
  <c r="L24" i="3"/>
  <c r="N24" i="3"/>
  <c r="F24" i="3"/>
  <c r="K26" i="3"/>
  <c r="M26" i="3"/>
  <c r="J26" i="3"/>
  <c r="I26" i="3"/>
  <c r="H26" i="3"/>
  <c r="G26" i="3"/>
  <c r="L26" i="3"/>
  <c r="N26" i="3"/>
  <c r="E26" i="3"/>
  <c r="F26" i="3"/>
  <c r="K33" i="3"/>
  <c r="M33" i="3"/>
  <c r="L33" i="3"/>
  <c r="N33" i="3"/>
  <c r="I33" i="3"/>
  <c r="H33" i="3"/>
  <c r="G33" i="3"/>
  <c r="F33" i="3"/>
  <c r="E33" i="3"/>
  <c r="J33" i="3"/>
  <c r="K35" i="3"/>
  <c r="M35" i="3"/>
  <c r="J35" i="3"/>
  <c r="L35" i="3"/>
  <c r="N35" i="3"/>
  <c r="I35" i="3"/>
  <c r="H35" i="3"/>
  <c r="G35" i="3"/>
  <c r="F35" i="3"/>
  <c r="E35" i="3"/>
  <c r="K37" i="3"/>
  <c r="M37" i="3"/>
  <c r="J37" i="3"/>
  <c r="L37" i="3"/>
  <c r="N37" i="3"/>
  <c r="I37" i="3"/>
  <c r="H37" i="3"/>
  <c r="G37" i="3"/>
  <c r="F37" i="3"/>
  <c r="E37" i="3"/>
  <c r="G4" i="3"/>
  <c r="G6" i="3"/>
  <c r="E14" i="3"/>
  <c r="E20" i="3" s="1"/>
  <c r="E7" i="3"/>
  <c r="F3" i="3"/>
  <c r="J10" i="5" l="1"/>
  <c r="J12" i="5" s="1"/>
  <c r="J14" i="5"/>
  <c r="N27" i="3"/>
  <c r="E27" i="3"/>
  <c r="H27" i="3"/>
  <c r="K27" i="3"/>
  <c r="E38" i="3"/>
  <c r="G38" i="3"/>
  <c r="I38" i="3"/>
  <c r="M38" i="3"/>
  <c r="I3" i="3"/>
  <c r="I7" i="3" s="1"/>
  <c r="C44" i="3" s="1"/>
  <c r="C48" i="3" s="1"/>
  <c r="E6" i="1" s="1"/>
  <c r="E11" i="1" s="1"/>
  <c r="E12" i="1" s="1"/>
  <c r="E13" i="1" s="1"/>
  <c r="E19" i="1" s="1"/>
  <c r="E22" i="1" s="1"/>
  <c r="H3" i="3"/>
  <c r="H7" i="3" s="1"/>
  <c r="G3" i="3"/>
  <c r="O6" i="3"/>
  <c r="Q6" i="3"/>
  <c r="M6" i="3"/>
  <c r="K6" i="3"/>
  <c r="J6" i="3"/>
  <c r="N6" i="3"/>
  <c r="P6" i="3"/>
  <c r="L6" i="3"/>
  <c r="F27" i="3"/>
  <c r="L27" i="3"/>
  <c r="G27" i="3"/>
  <c r="I27" i="3"/>
  <c r="M27" i="3"/>
  <c r="O5" i="3"/>
  <c r="Q5" i="3"/>
  <c r="L5" i="3"/>
  <c r="N5" i="3"/>
  <c r="P5" i="3"/>
  <c r="M5" i="3"/>
  <c r="K5" i="3"/>
  <c r="J5" i="3"/>
  <c r="F38" i="3"/>
  <c r="H38" i="3"/>
  <c r="J38" i="3"/>
  <c r="L38" i="3"/>
  <c r="K38" i="3"/>
  <c r="O4" i="3"/>
  <c r="Q4" i="3"/>
  <c r="M4" i="3"/>
  <c r="K4" i="3"/>
  <c r="J4" i="3"/>
  <c r="N4" i="3"/>
  <c r="P4" i="3"/>
  <c r="L4" i="3"/>
  <c r="J27" i="3"/>
  <c r="N38" i="3"/>
  <c r="G7" i="3"/>
  <c r="F7" i="3"/>
  <c r="W13" i="3" l="1"/>
  <c r="B44" i="3"/>
  <c r="B48" i="3" s="1"/>
  <c r="D6" i="1" s="1"/>
  <c r="D11" i="1" s="1"/>
  <c r="D12" i="1" s="1"/>
  <c r="D13" i="1" s="1"/>
  <c r="D19" i="1" s="1"/>
  <c r="K10" i="5"/>
  <c r="K12" i="5" s="1"/>
  <c r="K14" i="5"/>
  <c r="O3" i="3"/>
  <c r="O7" i="3" s="1"/>
  <c r="I44" i="3" s="1"/>
  <c r="I48" i="3" s="1"/>
  <c r="K6" i="1" s="1"/>
  <c r="K11" i="1" s="1"/>
  <c r="K12" i="1" s="1"/>
  <c r="K13" i="1" s="1"/>
  <c r="K19" i="1" s="1"/>
  <c r="K22" i="1" s="1"/>
  <c r="Q3" i="3"/>
  <c r="Q7" i="3" s="1"/>
  <c r="K44" i="3" s="1"/>
  <c r="K48" i="3" s="1"/>
  <c r="M6" i="1" s="1"/>
  <c r="M11" i="1" s="1"/>
  <c r="M12" i="1" s="1"/>
  <c r="M13" i="1" s="1"/>
  <c r="M19" i="1" s="1"/>
  <c r="M22" i="1" s="1"/>
  <c r="N3" i="3"/>
  <c r="N7" i="3" s="1"/>
  <c r="H44" i="3" s="1"/>
  <c r="H48" i="3" s="1"/>
  <c r="J6" i="1" s="1"/>
  <c r="J11" i="1" s="1"/>
  <c r="J12" i="1" s="1"/>
  <c r="J13" i="1" s="1"/>
  <c r="J19" i="1" s="1"/>
  <c r="J22" i="1" s="1"/>
  <c r="P3" i="3"/>
  <c r="P7" i="3" s="1"/>
  <c r="J44" i="3" s="1"/>
  <c r="J48" i="3" s="1"/>
  <c r="L6" i="1" s="1"/>
  <c r="L11" i="1" s="1"/>
  <c r="L12" i="1" s="1"/>
  <c r="L13" i="1" s="1"/>
  <c r="L19" i="1" s="1"/>
  <c r="L22" i="1" s="1"/>
  <c r="M3" i="3"/>
  <c r="M7" i="3" s="1"/>
  <c r="G44" i="3" s="1"/>
  <c r="G48" i="3" s="1"/>
  <c r="I6" i="1" s="1"/>
  <c r="I11" i="1" s="1"/>
  <c r="I12" i="1" s="1"/>
  <c r="I13" i="1" s="1"/>
  <c r="I19" i="1" s="1"/>
  <c r="I22" i="1" s="1"/>
  <c r="K3" i="3"/>
  <c r="K7" i="3" s="1"/>
  <c r="E44" i="3" s="1"/>
  <c r="E48" i="3" s="1"/>
  <c r="G6" i="1" s="1"/>
  <c r="G11" i="1" s="1"/>
  <c r="G12" i="1" s="1"/>
  <c r="G13" i="1" s="1"/>
  <c r="G19" i="1" s="1"/>
  <c r="G22" i="1" s="1"/>
  <c r="J3" i="3"/>
  <c r="L14" i="5" l="1"/>
  <c r="L10" i="5"/>
  <c r="L12" i="5" s="1"/>
  <c r="D22" i="1"/>
  <c r="C23" i="1" s="1"/>
  <c r="L3" i="3"/>
  <c r="L7" i="3" s="1"/>
  <c r="F44" i="3" s="1"/>
  <c r="F48" i="3" s="1"/>
  <c r="H6" i="1" s="1"/>
  <c r="H11" i="1" s="1"/>
  <c r="H12" i="1" s="1"/>
  <c r="H13" i="1" s="1"/>
  <c r="H19" i="1" s="1"/>
  <c r="H22" i="1" s="1"/>
  <c r="J7" i="3"/>
  <c r="D44" i="3" s="1"/>
  <c r="D48" i="3" s="1"/>
  <c r="F6" i="1" s="1"/>
  <c r="F11" i="1" s="1"/>
  <c r="F12" i="1" s="1"/>
  <c r="F13" i="1" s="1"/>
  <c r="F19" i="1" s="1"/>
  <c r="F22" i="1" s="1"/>
  <c r="C25" i="1" l="1"/>
  <c r="C27" i="1"/>
  <c r="M14" i="5"/>
  <c r="M10" i="5"/>
  <c r="M12" i="5" s="1"/>
</calcChain>
</file>

<file path=xl/sharedStrings.xml><?xml version="1.0" encoding="utf-8"?>
<sst xmlns="http://schemas.openxmlformats.org/spreadsheetml/2006/main" count="300" uniqueCount="192">
  <si>
    <t>Ingresos por Operación</t>
  </si>
  <si>
    <t>Ingresos por ventas</t>
  </si>
  <si>
    <t>Egresos por Operación</t>
  </si>
  <si>
    <t>Costos Variables</t>
  </si>
  <si>
    <t>Costos Fijos</t>
  </si>
  <si>
    <t>Interés Préstamo</t>
  </si>
  <si>
    <t>Depreciación de los Bienes de Uso</t>
  </si>
  <si>
    <t xml:space="preserve">Utilidad antes de Impuestos </t>
  </si>
  <si>
    <t>Impuesto a las ganancias</t>
  </si>
  <si>
    <t>Utilidad neta (despues de Impuestos)</t>
  </si>
  <si>
    <t>Inversión inicial</t>
  </si>
  <si>
    <t>Capital del Préstamo</t>
  </si>
  <si>
    <t>Capital de trabajo</t>
  </si>
  <si>
    <t>Flujo de Fondos</t>
  </si>
  <si>
    <t>CALCULO DEL VAN</t>
  </si>
  <si>
    <t>VALOR ACTUAL NETO</t>
  </si>
  <si>
    <t>Tasa de Referencia (R)</t>
  </si>
  <si>
    <t>Tasa Interna de Retorno (TIR)</t>
  </si>
  <si>
    <t>Parada estibal</t>
  </si>
  <si>
    <t>Mantenimiento($)</t>
  </si>
  <si>
    <t>Mantenimiento de compresores</t>
  </si>
  <si>
    <t>Inversiones($)</t>
  </si>
  <si>
    <t>Totales</t>
  </si>
  <si>
    <t>OBSREVACIONES</t>
  </si>
  <si>
    <t>Produccion Tn/mes</t>
  </si>
  <si>
    <t>2 Turnos</t>
  </si>
  <si>
    <t>Mantenimiento anual exautivo</t>
  </si>
  <si>
    <t>Ampliacion de la Planta</t>
  </si>
  <si>
    <t>Mantenimiento de Compresores</t>
  </si>
  <si>
    <t>Mant. 2 Girofreezer,2 Balanza Multicabezal,2 Aplicadora de Film,</t>
  </si>
  <si>
    <t>Cambio de chequeadora de pesos y de metales,2 baterias nuevas</t>
  </si>
  <si>
    <t>1 Turno</t>
  </si>
  <si>
    <t>Costo hora hombre $/h</t>
  </si>
  <si>
    <t>Categoria</t>
  </si>
  <si>
    <t>Operarios</t>
  </si>
  <si>
    <t>Costo por hora</t>
  </si>
  <si>
    <t>Costo por dia</t>
  </si>
  <si>
    <t>Costo por mes</t>
  </si>
  <si>
    <t>Costo por año</t>
  </si>
  <si>
    <t>Item</t>
  </si>
  <si>
    <t>Cantidad/2 meses</t>
  </si>
  <si>
    <t>Costo unitatio ($/kg)</t>
  </si>
  <si>
    <t>Costo/2 meses ($)</t>
  </si>
  <si>
    <t>Merluza</t>
  </si>
  <si>
    <t>Papas</t>
  </si>
  <si>
    <t>Arvejas</t>
  </si>
  <si>
    <t>Aglutinante</t>
  </si>
  <si>
    <t>Sazonzdor</t>
  </si>
  <si>
    <t>Aceite girasol</t>
  </si>
  <si>
    <t>TOTAL</t>
  </si>
  <si>
    <t>Servicio</t>
  </si>
  <si>
    <t>Consumo mensual</t>
  </si>
  <si>
    <t>Luz</t>
  </si>
  <si>
    <t>Agua</t>
  </si>
  <si>
    <t>Gas</t>
  </si>
  <si>
    <t>Total</t>
  </si>
  <si>
    <t>Estuches</t>
  </si>
  <si>
    <t>Bandejas</t>
  </si>
  <si>
    <t>Caja Master</t>
  </si>
  <si>
    <t>Palet</t>
  </si>
  <si>
    <t>Termocontraible</t>
  </si>
  <si>
    <t>Estrich</t>
  </si>
  <si>
    <t>COSTO MANO DE OBRA</t>
  </si>
  <si>
    <t>COSTO MATERIA PRIMA</t>
  </si>
  <si>
    <t>COSTO SERVICIOS</t>
  </si>
  <si>
    <t>COSTO ENVASES</t>
  </si>
  <si>
    <t>PERIODO</t>
  </si>
  <si>
    <t>TN/año</t>
  </si>
  <si>
    <t>Rendimiento</t>
  </si>
  <si>
    <t>% en peso</t>
  </si>
  <si>
    <t>Ingrediente</t>
  </si>
  <si>
    <t>Sazonador</t>
  </si>
  <si>
    <t>Costo unitario ($/unid)</t>
  </si>
  <si>
    <t>Costo mensual $</t>
  </si>
  <si>
    <t>Cantidad Diaria( unid)</t>
  </si>
  <si>
    <t>COSTO VARIABLES</t>
  </si>
  <si>
    <t>COSTO DE SERVICIOS</t>
  </si>
  <si>
    <t>COSTO DE ENVASES</t>
  </si>
  <si>
    <t>TOTALES</t>
  </si>
  <si>
    <t>Costo mensual</t>
  </si>
  <si>
    <t>Sueldo Mensuales</t>
  </si>
  <si>
    <t>Alquiler de Equipos</t>
  </si>
  <si>
    <t>Higiene y Seguridad</t>
  </si>
  <si>
    <t>Costo de Mantenimiento</t>
  </si>
  <si>
    <t>Servicio de terceros</t>
  </si>
  <si>
    <t>Librería</t>
  </si>
  <si>
    <t>Telefonia</t>
  </si>
  <si>
    <t>Seguros</t>
  </si>
  <si>
    <t>Limpieza</t>
  </si>
  <si>
    <t>Otros</t>
  </si>
  <si>
    <t>Analisis Fisicoquimicos</t>
  </si>
  <si>
    <t>Pago anual SENASA</t>
  </si>
  <si>
    <t>Control de plagas</t>
  </si>
  <si>
    <t>Servicio de Cargas</t>
  </si>
  <si>
    <t>Estudio Abogados</t>
  </si>
  <si>
    <t>Cobustible</t>
  </si>
  <si>
    <t>Vigilancia</t>
  </si>
  <si>
    <t>Costo anual</t>
  </si>
  <si>
    <t>SUELDO MENSUAÑES</t>
  </si>
  <si>
    <t>Cargo</t>
  </si>
  <si>
    <t>Cantidad</t>
  </si>
  <si>
    <t>Sueldo</t>
  </si>
  <si>
    <t>Un Turno</t>
  </si>
  <si>
    <t>Dos Turnos</t>
  </si>
  <si>
    <t>Dos Turnos+Ampl.</t>
  </si>
  <si>
    <t>Gerente</t>
  </si>
  <si>
    <t>Jerarquico</t>
  </si>
  <si>
    <t>Jefes</t>
  </si>
  <si>
    <t>Supervisores</t>
  </si>
  <si>
    <t>Contadores</t>
  </si>
  <si>
    <t>Asistentes</t>
  </si>
  <si>
    <t>Según plan de Produccion</t>
  </si>
  <si>
    <t>COSTOS FIJOS</t>
  </si>
  <si>
    <t>Capital tomado en prestamo</t>
  </si>
  <si>
    <t>Cantidad de periodos de Amortizacion</t>
  </si>
  <si>
    <t>Tasa Nominal Anual</t>
  </si>
  <si>
    <t>CONCEPTO</t>
  </si>
  <si>
    <t>Tasa Interés</t>
  </si>
  <si>
    <t>Interés del periodo</t>
  </si>
  <si>
    <t>Cuota Amortizacion Capital</t>
  </si>
  <si>
    <t>Pago al finalizar el Periodo</t>
  </si>
  <si>
    <t>Saldo de Capital al cierre del</t>
  </si>
  <si>
    <t>Periodo despues de descomtar</t>
  </si>
  <si>
    <t>La Amortizacion</t>
  </si>
  <si>
    <t>i</t>
  </si>
  <si>
    <t>lj</t>
  </si>
  <si>
    <t>CA</t>
  </si>
  <si>
    <t>Sj</t>
  </si>
  <si>
    <t>Pj</t>
  </si>
  <si>
    <t>Sist. Aleman</t>
  </si>
  <si>
    <t>Valor residual</t>
  </si>
  <si>
    <t>[VAN+V0]</t>
  </si>
  <si>
    <t>Mer. Int.</t>
  </si>
  <si>
    <t>Mer. Ext.</t>
  </si>
  <si>
    <t>$/kg</t>
  </si>
  <si>
    <t>Gastos de  Comercialización y Ventas</t>
  </si>
  <si>
    <t>Precio Venta</t>
  </si>
  <si>
    <t>Mant. Girofreezer, Balanza Multicabezal, Apli. de Film, Cambio de</t>
  </si>
  <si>
    <t>chequeadora de pesos y de metales, 2 bat. nuevas + 2 comp. Nuevo</t>
  </si>
  <si>
    <r>
      <t>Periodo N</t>
    </r>
    <r>
      <rPr>
        <sz val="11"/>
        <color theme="1"/>
        <rFont val="Calibri"/>
        <family val="2"/>
      </rPr>
      <t>º1</t>
    </r>
  </si>
  <si>
    <r>
      <t>Periodo N</t>
    </r>
    <r>
      <rPr>
        <sz val="11"/>
        <color theme="1"/>
        <rFont val="Calibri"/>
        <family val="2"/>
      </rPr>
      <t>º2</t>
    </r>
  </si>
  <si>
    <r>
      <t>Periodo N</t>
    </r>
    <r>
      <rPr>
        <sz val="11"/>
        <color theme="1"/>
        <rFont val="Calibri"/>
        <family val="2"/>
      </rPr>
      <t>º3</t>
    </r>
  </si>
  <si>
    <r>
      <t>Periodo N</t>
    </r>
    <r>
      <rPr>
        <sz val="11"/>
        <color theme="1"/>
        <rFont val="Calibri"/>
        <family val="2"/>
      </rPr>
      <t>º4</t>
    </r>
  </si>
  <si>
    <r>
      <t>Periodo N</t>
    </r>
    <r>
      <rPr>
        <sz val="11"/>
        <color theme="1"/>
        <rFont val="Calibri"/>
        <family val="2"/>
      </rPr>
      <t>º5</t>
    </r>
  </si>
  <si>
    <r>
      <t>Periodo N</t>
    </r>
    <r>
      <rPr>
        <sz val="11"/>
        <color theme="1"/>
        <rFont val="Calibri"/>
        <family val="2"/>
      </rPr>
      <t>º6</t>
    </r>
  </si>
  <si>
    <r>
      <t>Periodo N</t>
    </r>
    <r>
      <rPr>
        <sz val="11"/>
        <color theme="1"/>
        <rFont val="Calibri"/>
        <family val="2"/>
      </rPr>
      <t>º7</t>
    </r>
  </si>
  <si>
    <r>
      <t>Periodo N</t>
    </r>
    <r>
      <rPr>
        <sz val="11"/>
        <color theme="1"/>
        <rFont val="Calibri"/>
        <family val="2"/>
      </rPr>
      <t>º8</t>
    </r>
  </si>
  <si>
    <r>
      <t>Periodo N</t>
    </r>
    <r>
      <rPr>
        <sz val="11"/>
        <color theme="1"/>
        <rFont val="Calibri"/>
        <family val="2"/>
      </rPr>
      <t>º9</t>
    </r>
  </si>
  <si>
    <r>
      <t>Periodo N</t>
    </r>
    <r>
      <rPr>
        <sz val="11"/>
        <color theme="1"/>
        <rFont val="Calibri"/>
        <family val="2"/>
      </rPr>
      <t>º10</t>
    </r>
  </si>
  <si>
    <t>Valor del Dólar($)</t>
  </si>
  <si>
    <t>VAN ($)</t>
  </si>
  <si>
    <t>TIR (%)</t>
  </si>
  <si>
    <t>Variacíon(%)</t>
  </si>
  <si>
    <t>Valor ($/Kg)</t>
  </si>
  <si>
    <t>EROGACIONES</t>
  </si>
  <si>
    <t>Meses</t>
  </si>
  <si>
    <t>Costos Fijos ($)</t>
  </si>
  <si>
    <t>Erogaciones</t>
  </si>
  <si>
    <t>de Mano de Obra ($)</t>
  </si>
  <si>
    <t>de Envases ($)</t>
  </si>
  <si>
    <t>TOTAL EROGACIONES ($)</t>
  </si>
  <si>
    <t>INGRESOS</t>
  </si>
  <si>
    <t>Ingresos por</t>
  </si>
  <si>
    <t>Ventas ($)</t>
  </si>
  <si>
    <t>Total de Ingresos ($)</t>
  </si>
  <si>
    <t>FLUJO ACUMULADO ($)</t>
  </si>
  <si>
    <t>DEFICIT</t>
  </si>
  <si>
    <t>DEFICIT ACUMULADO</t>
  </si>
  <si>
    <t>MAXIMO ($)</t>
  </si>
  <si>
    <t>de Matia Prima ($)</t>
  </si>
  <si>
    <t>Cuota de</t>
  </si>
  <si>
    <t>Amortizacion</t>
  </si>
  <si>
    <t>INVERSIONES</t>
  </si>
  <si>
    <t>Valor de origen</t>
  </si>
  <si>
    <t>cantidad</t>
  </si>
  <si>
    <t>Inversion inicial</t>
  </si>
  <si>
    <t>Reinversion</t>
  </si>
  <si>
    <t>Vida Util</t>
  </si>
  <si>
    <t>VR</t>
  </si>
  <si>
    <t>Maquinas</t>
  </si>
  <si>
    <t>Obra</t>
  </si>
  <si>
    <t>Total amortizaciones</t>
  </si>
  <si>
    <t>Mantenimiento</t>
  </si>
  <si>
    <t>Terreno</t>
  </si>
  <si>
    <t>Total Inversion Inicial</t>
  </si>
  <si>
    <t>Pretamo</t>
  </si>
  <si>
    <t>Capital Propio</t>
  </si>
  <si>
    <t>Total Inversion</t>
  </si>
  <si>
    <t>Valor Residual</t>
  </si>
  <si>
    <t>Costo Financiación</t>
  </si>
  <si>
    <t>Costo de Amortización</t>
  </si>
  <si>
    <t>Costo de Aministración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</si>
</sst>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rebuchet MS"/>
      <family val="2"/>
    </font>
    <font>
      <sz val="14"/>
      <name val="Trebuchet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mediumGray">
        <fgColor indexed="9"/>
        <bgColor theme="6" tint="0.3999755851924192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5" borderId="23" xfId="0" applyFill="1" applyBorder="1"/>
    <xf numFmtId="0" fontId="0" fillId="5" borderId="24" xfId="0" applyFill="1" applyBorder="1"/>
    <xf numFmtId="0" fontId="0" fillId="0" borderId="26" xfId="0" applyBorder="1"/>
    <xf numFmtId="0" fontId="0" fillId="0" borderId="27" xfId="0" applyBorder="1"/>
    <xf numFmtId="0" fontId="0" fillId="0" borderId="23" xfId="0" applyBorder="1"/>
    <xf numFmtId="0" fontId="0" fillId="0" borderId="24" xfId="0" applyBorder="1"/>
    <xf numFmtId="0" fontId="0" fillId="0" borderId="29" xfId="0" applyBorder="1"/>
    <xf numFmtId="0" fontId="2" fillId="0" borderId="0" xfId="0" applyFont="1"/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1" fontId="0" fillId="8" borderId="24" xfId="0" applyNumberFormat="1" applyFill="1" applyBorder="1" applyAlignment="1">
      <alignment horizontal="center"/>
    </xf>
    <xf numFmtId="0" fontId="0" fillId="0" borderId="37" xfId="0" applyBorder="1"/>
    <xf numFmtId="0" fontId="0" fillId="8" borderId="12" xfId="0" applyFill="1" applyBorder="1"/>
    <xf numFmtId="0" fontId="0" fillId="0" borderId="38" xfId="0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0" borderId="39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11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0" borderId="40" xfId="0" applyBorder="1"/>
    <xf numFmtId="0" fontId="0" fillId="0" borderId="42" xfId="0" applyBorder="1"/>
    <xf numFmtId="0" fontId="0" fillId="0" borderId="28" xfId="0" applyBorder="1"/>
    <xf numFmtId="0" fontId="0" fillId="12" borderId="12" xfId="0" applyFill="1" applyBorder="1"/>
    <xf numFmtId="0" fontId="0" fillId="12" borderId="13" xfId="0" applyFill="1" applyBorder="1"/>
    <xf numFmtId="0" fontId="0" fillId="12" borderId="43" xfId="0" applyFill="1" applyBorder="1"/>
    <xf numFmtId="0" fontId="0" fillId="12" borderId="23" xfId="0" applyFill="1" applyBorder="1"/>
    <xf numFmtId="0" fontId="0" fillId="12" borderId="24" xfId="0" applyFill="1" applyBorder="1"/>
    <xf numFmtId="0" fontId="0" fillId="12" borderId="25" xfId="0" applyFill="1" applyBorder="1"/>
    <xf numFmtId="0" fontId="0" fillId="12" borderId="9" xfId="0" applyFill="1" applyBorder="1"/>
    <xf numFmtId="0" fontId="0" fillId="12" borderId="10" xfId="0" applyFill="1" applyBorder="1"/>
    <xf numFmtId="0" fontId="0" fillId="12" borderId="11" xfId="0" applyFill="1" applyBorder="1"/>
    <xf numFmtId="0" fontId="0" fillId="12" borderId="29" xfId="0" applyFill="1" applyBorder="1"/>
    <xf numFmtId="0" fontId="3" fillId="0" borderId="1" xfId="0" applyFont="1" applyBorder="1"/>
    <xf numFmtId="0" fontId="2" fillId="13" borderId="15" xfId="0" applyFont="1" applyFill="1" applyBorder="1"/>
    <xf numFmtId="0" fontId="0" fillId="13" borderId="44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0" fontId="0" fillId="13" borderId="16" xfId="0" applyFill="1" applyBorder="1" applyAlignment="1">
      <alignment horizontal="center"/>
    </xf>
    <xf numFmtId="0" fontId="0" fillId="0" borderId="35" xfId="0" applyBorder="1"/>
    <xf numFmtId="0" fontId="0" fillId="13" borderId="23" xfId="0" applyFill="1" applyBorder="1"/>
    <xf numFmtId="0" fontId="4" fillId="0" borderId="0" xfId="0" applyFont="1"/>
    <xf numFmtId="0" fontId="0" fillId="14" borderId="9" xfId="0" applyFill="1" applyBorder="1"/>
    <xf numFmtId="0" fontId="0" fillId="14" borderId="10" xfId="0" applyFill="1" applyBorder="1"/>
    <xf numFmtId="0" fontId="0" fillId="14" borderId="11" xfId="0" applyFill="1" applyBorder="1"/>
    <xf numFmtId="0" fontId="0" fillId="14" borderId="30" xfId="0" applyFill="1" applyBorder="1"/>
    <xf numFmtId="0" fontId="0" fillId="14" borderId="31" xfId="0" applyFill="1" applyBorder="1"/>
    <xf numFmtId="0" fontId="0" fillId="14" borderId="24" xfId="0" applyFill="1" applyBorder="1"/>
    <xf numFmtId="0" fontId="0" fillId="14" borderId="29" xfId="0" applyFill="1" applyBorder="1"/>
    <xf numFmtId="0" fontId="0" fillId="14" borderId="12" xfId="0" applyFill="1" applyBorder="1"/>
    <xf numFmtId="0" fontId="0" fillId="14" borderId="13" xfId="0" applyFill="1" applyBorder="1"/>
    <xf numFmtId="0" fontId="0" fillId="14" borderId="43" xfId="0" applyFill="1" applyBorder="1"/>
    <xf numFmtId="0" fontId="0" fillId="14" borderId="23" xfId="0" applyFill="1" applyBorder="1"/>
    <xf numFmtId="0" fontId="0" fillId="14" borderId="25" xfId="0" applyFill="1" applyBorder="1"/>
    <xf numFmtId="0" fontId="0" fillId="0" borderId="32" xfId="0" applyBorder="1"/>
    <xf numFmtId="0" fontId="0" fillId="0" borderId="39" xfId="0" applyBorder="1"/>
    <xf numFmtId="0" fontId="0" fillId="0" borderId="30" xfId="0" applyBorder="1"/>
    <xf numFmtId="0" fontId="0" fillId="0" borderId="25" xfId="0" applyBorder="1"/>
    <xf numFmtId="0" fontId="0" fillId="14" borderId="13" xfId="0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0" xfId="0" applyFont="1"/>
    <xf numFmtId="1" fontId="0" fillId="7" borderId="16" xfId="0" applyNumberForma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9" fontId="0" fillId="7" borderId="38" xfId="0" applyNumberFormat="1" applyFill="1" applyBorder="1" applyAlignment="1">
      <alignment horizontal="center"/>
    </xf>
    <xf numFmtId="0" fontId="5" fillId="0" borderId="0" xfId="0" applyFont="1"/>
    <xf numFmtId="0" fontId="7" fillId="0" borderId="12" xfId="0" applyFont="1" applyBorder="1"/>
    <xf numFmtId="0" fontId="7" fillId="0" borderId="17" xfId="0" applyFont="1" applyBorder="1"/>
    <xf numFmtId="0" fontId="7" fillId="0" borderId="37" xfId="0" applyFont="1" applyBorder="1"/>
    <xf numFmtId="0" fontId="5" fillId="0" borderId="9" xfId="0" applyFont="1" applyBorder="1"/>
    <xf numFmtId="0" fontId="5" fillId="0" borderId="45" xfId="0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30" xfId="0" applyFont="1" applyBorder="1"/>
    <xf numFmtId="0" fontId="6" fillId="0" borderId="9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49" xfId="0" applyFont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10" borderId="1" xfId="0" applyFont="1" applyFill="1" applyBorder="1" applyAlignment="1">
      <alignment vertical="center"/>
    </xf>
    <xf numFmtId="0" fontId="8" fillId="0" borderId="34" xfId="0" applyFont="1" applyBorder="1" applyAlignment="1">
      <alignment horizontal="center"/>
    </xf>
    <xf numFmtId="0" fontId="10" fillId="10" borderId="35" xfId="0" applyFont="1" applyFill="1" applyBorder="1" applyAlignment="1">
      <alignment vertical="center"/>
    </xf>
    <xf numFmtId="0" fontId="8" fillId="0" borderId="36" xfId="0" applyFont="1" applyBorder="1" applyAlignment="1">
      <alignment horizontal="center"/>
    </xf>
    <xf numFmtId="0" fontId="10" fillId="10" borderId="46" xfId="0" applyFont="1" applyFill="1" applyBorder="1" applyAlignment="1">
      <alignment vertical="center"/>
    </xf>
    <xf numFmtId="0" fontId="10" fillId="10" borderId="32" xfId="0" applyFont="1" applyFill="1" applyBorder="1" applyAlignment="1">
      <alignment vertical="center"/>
    </xf>
    <xf numFmtId="0" fontId="8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9" fillId="4" borderId="23" xfId="0" applyFont="1" applyFill="1" applyBorder="1"/>
    <xf numFmtId="0" fontId="8" fillId="4" borderId="24" xfId="0" applyFont="1" applyFill="1" applyBorder="1" applyAlignment="1">
      <alignment horizontal="center"/>
    </xf>
    <xf numFmtId="0" fontId="9" fillId="4" borderId="27" xfId="0" applyFont="1" applyFill="1" applyBorder="1"/>
    <xf numFmtId="0" fontId="8" fillId="4" borderId="27" xfId="0" applyFont="1" applyFill="1" applyBorder="1" applyAlignment="1">
      <alignment horizontal="center"/>
    </xf>
    <xf numFmtId="0" fontId="11" fillId="10" borderId="0" xfId="0" applyFont="1" applyFill="1"/>
    <xf numFmtId="0" fontId="8" fillId="4" borderId="13" xfId="0" applyFont="1" applyFill="1" applyBorder="1" applyAlignment="1">
      <alignment horizontal="center"/>
    </xf>
    <xf numFmtId="0" fontId="8" fillId="15" borderId="16" xfId="0" applyFont="1" applyFill="1" applyBorder="1" applyAlignment="1">
      <alignment horizontal="center"/>
    </xf>
    <xf numFmtId="0" fontId="9" fillId="4" borderId="17" xfId="0" applyFont="1" applyFill="1" applyBorder="1"/>
    <xf numFmtId="0" fontId="8" fillId="4" borderId="18" xfId="0" applyFont="1" applyFill="1" applyBorder="1" applyAlignment="1">
      <alignment horizontal="center"/>
    </xf>
    <xf numFmtId="9" fontId="8" fillId="15" borderId="19" xfId="0" applyNumberFormat="1" applyFont="1" applyFill="1" applyBorder="1" applyAlignment="1">
      <alignment horizontal="center"/>
    </xf>
    <xf numFmtId="0" fontId="9" fillId="4" borderId="37" xfId="0" applyFont="1" applyFill="1" applyBorder="1"/>
    <xf numFmtId="0" fontId="8" fillId="4" borderId="51" xfId="0" applyFont="1" applyFill="1" applyBorder="1" applyAlignment="1">
      <alignment horizontal="center"/>
    </xf>
    <xf numFmtId="9" fontId="8" fillId="15" borderId="38" xfId="0" applyNumberFormat="1" applyFont="1" applyFill="1" applyBorder="1" applyAlignment="1">
      <alignment horizontal="center"/>
    </xf>
    <xf numFmtId="9" fontId="8" fillId="0" borderId="53" xfId="0" applyNumberFormat="1" applyFont="1" applyBorder="1" applyAlignment="1">
      <alignment horizontal="center"/>
    </xf>
    <xf numFmtId="0" fontId="12" fillId="4" borderId="12" xfId="0" applyFont="1" applyFill="1" applyBorder="1"/>
    <xf numFmtId="0" fontId="13" fillId="0" borderId="0" xfId="0" applyFont="1" applyAlignment="1">
      <alignment horizontal="center"/>
    </xf>
    <xf numFmtId="0" fontId="8" fillId="15" borderId="12" xfId="0" applyFont="1" applyFill="1" applyBorder="1" applyAlignment="1">
      <alignment horizontal="center"/>
    </xf>
    <xf numFmtId="0" fontId="8" fillId="15" borderId="17" xfId="0" applyFont="1" applyFill="1" applyBorder="1" applyAlignment="1">
      <alignment horizontal="center"/>
    </xf>
    <xf numFmtId="0" fontId="8" fillId="15" borderId="19" xfId="0" applyFont="1" applyFill="1" applyBorder="1" applyAlignment="1">
      <alignment horizontal="center"/>
    </xf>
    <xf numFmtId="0" fontId="8" fillId="15" borderId="37" xfId="0" applyFont="1" applyFill="1" applyBorder="1" applyAlignment="1">
      <alignment horizontal="center"/>
    </xf>
    <xf numFmtId="3" fontId="0" fillId="7" borderId="17" xfId="0" applyNumberFormat="1" applyFill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0" xfId="0" applyNumberFormat="1" applyFill="1" applyAlignment="1">
      <alignment horizontal="center"/>
    </xf>
    <xf numFmtId="3" fontId="0" fillId="7" borderId="4" xfId="0" applyNumberFormat="1" applyFill="1" applyBorder="1" applyAlignment="1">
      <alignment horizontal="center"/>
    </xf>
    <xf numFmtId="3" fontId="0" fillId="7" borderId="2" xfId="0" applyNumberFormat="1" applyFill="1" applyBorder="1" applyAlignment="1">
      <alignment horizontal="center"/>
    </xf>
    <xf numFmtId="3" fontId="0" fillId="7" borderId="3" xfId="0" applyNumberFormat="1" applyFill="1" applyBorder="1" applyAlignment="1">
      <alignment horizontal="center"/>
    </xf>
    <xf numFmtId="3" fontId="0" fillId="7" borderId="18" xfId="0" applyNumberFormat="1" applyFill="1" applyBorder="1" applyAlignment="1">
      <alignment horizontal="right"/>
    </xf>
    <xf numFmtId="3" fontId="0" fillId="7" borderId="19" xfId="0" applyNumberFormat="1" applyFill="1" applyBorder="1" applyAlignment="1">
      <alignment horizontal="right"/>
    </xf>
    <xf numFmtId="3" fontId="8" fillId="0" borderId="21" xfId="0" applyNumberFormat="1" applyFont="1" applyBorder="1" applyAlignment="1">
      <alignment horizontal="center"/>
    </xf>
    <xf numFmtId="3" fontId="8" fillId="15" borderId="24" xfId="0" applyNumberFormat="1" applyFont="1" applyFill="1" applyBorder="1" applyAlignment="1">
      <alignment horizontal="center"/>
    </xf>
    <xf numFmtId="3" fontId="8" fillId="15" borderId="25" xfId="0" applyNumberFormat="1" applyFont="1" applyFill="1" applyBorder="1" applyAlignment="1">
      <alignment horizontal="center"/>
    </xf>
    <xf numFmtId="3" fontId="11" fillId="10" borderId="0" xfId="0" applyNumberFormat="1" applyFont="1" applyFill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18" xfId="0" applyNumberFormat="1" applyFont="1" applyBorder="1" applyAlignment="1">
      <alignment horizontal="right"/>
    </xf>
    <xf numFmtId="3" fontId="8" fillId="0" borderId="19" xfId="0" applyNumberFormat="1" applyFont="1" applyBorder="1" applyAlignment="1">
      <alignment horizontal="right"/>
    </xf>
    <xf numFmtId="3" fontId="8" fillId="0" borderId="21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52" xfId="0" applyNumberFormat="1" applyFont="1" applyBorder="1" applyAlignment="1">
      <alignment horizontal="right"/>
    </xf>
    <xf numFmtId="3" fontId="8" fillId="0" borderId="27" xfId="0" applyNumberFormat="1" applyFont="1" applyBorder="1" applyAlignment="1">
      <alignment horizontal="right"/>
    </xf>
    <xf numFmtId="3" fontId="8" fillId="0" borderId="28" xfId="0" applyNumberFormat="1" applyFont="1" applyBorder="1" applyAlignment="1">
      <alignment horizontal="right"/>
    </xf>
    <xf numFmtId="3" fontId="8" fillId="4" borderId="27" xfId="0" applyNumberFormat="1" applyFont="1" applyFill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8" borderId="24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13" borderId="24" xfId="0" applyNumberFormat="1" applyFill="1" applyBorder="1" applyAlignment="1">
      <alignment horizontal="center"/>
    </xf>
    <xf numFmtId="3" fontId="0" fillId="13" borderId="25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right"/>
    </xf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36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8" fillId="15" borderId="16" xfId="0" applyNumberFormat="1" applyFont="1" applyFill="1" applyBorder="1" applyAlignment="1">
      <alignment horizontal="center"/>
    </xf>
    <xf numFmtId="0" fontId="9" fillId="16" borderId="15" xfId="0" applyFont="1" applyFill="1" applyBorder="1" applyAlignment="1">
      <alignment vertical="top" wrapText="1"/>
    </xf>
    <xf numFmtId="0" fontId="8" fillId="4" borderId="44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9" fillId="16" borderId="1" xfId="0" applyFont="1" applyFill="1" applyBorder="1" applyAlignment="1">
      <alignment vertical="top" wrapText="1"/>
    </xf>
    <xf numFmtId="0" fontId="8" fillId="4" borderId="34" xfId="0" applyFont="1" applyFill="1" applyBorder="1" applyAlignment="1">
      <alignment horizontal="center"/>
    </xf>
    <xf numFmtId="3" fontId="8" fillId="4" borderId="18" xfId="0" applyNumberFormat="1" applyFont="1" applyFill="1" applyBorder="1" applyAlignment="1">
      <alignment horizontal="right"/>
    </xf>
    <xf numFmtId="3" fontId="8" fillId="4" borderId="19" xfId="0" applyNumberFormat="1" applyFont="1" applyFill="1" applyBorder="1" applyAlignment="1">
      <alignment horizontal="right"/>
    </xf>
    <xf numFmtId="0" fontId="9" fillId="16" borderId="30" xfId="0" applyFont="1" applyFill="1" applyBorder="1" applyAlignment="1">
      <alignment vertical="top" wrapText="1"/>
    </xf>
    <xf numFmtId="0" fontId="8" fillId="4" borderId="31" xfId="0" applyFont="1" applyFill="1" applyBorder="1" applyAlignment="1">
      <alignment horizontal="center"/>
    </xf>
    <xf numFmtId="3" fontId="8" fillId="4" borderId="24" xfId="0" applyNumberFormat="1" applyFont="1" applyFill="1" applyBorder="1" applyAlignment="1">
      <alignment horizontal="right"/>
    </xf>
    <xf numFmtId="3" fontId="8" fillId="4" borderId="25" xfId="0" applyNumberFormat="1" applyFont="1" applyFill="1" applyBorder="1" applyAlignment="1">
      <alignment horizontal="right"/>
    </xf>
    <xf numFmtId="0" fontId="9" fillId="4" borderId="30" xfId="0" applyFont="1" applyFill="1" applyBorder="1" applyAlignment="1">
      <alignment vertical="center"/>
    </xf>
    <xf numFmtId="3" fontId="8" fillId="4" borderId="24" xfId="0" applyNumberFormat="1" applyFont="1" applyFill="1" applyBorder="1" applyAlignment="1">
      <alignment horizontal="center"/>
    </xf>
    <xf numFmtId="3" fontId="8" fillId="4" borderId="25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5" xfId="0" applyFont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1" fontId="0" fillId="0" borderId="13" xfId="0" applyNumberFormat="1" applyBorder="1"/>
    <xf numFmtId="1" fontId="0" fillId="0" borderId="16" xfId="0" applyNumberFormat="1" applyBorder="1"/>
    <xf numFmtId="1" fontId="0" fillId="0" borderId="51" xfId="0" applyNumberFormat="1" applyBorder="1"/>
    <xf numFmtId="1" fontId="0" fillId="0" borderId="38" xfId="0" applyNumberFormat="1" applyBorder="1"/>
    <xf numFmtId="1" fontId="0" fillId="0" borderId="27" xfId="0" applyNumberFormat="1" applyBorder="1"/>
    <xf numFmtId="1" fontId="0" fillId="0" borderId="28" xfId="0" applyNumberFormat="1" applyBorder="1"/>
    <xf numFmtId="0" fontId="0" fillId="0" borderId="9" xfId="0" applyBorder="1"/>
    <xf numFmtId="0" fontId="0" fillId="0" borderId="10" xfId="0" applyBorder="1"/>
    <xf numFmtId="0" fontId="0" fillId="0" borderId="44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49" xfId="0" applyBorder="1"/>
    <xf numFmtId="0" fontId="0" fillId="0" borderId="8" xfId="0" applyBorder="1"/>
    <xf numFmtId="1" fontId="0" fillId="0" borderId="57" xfId="0" applyNumberFormat="1" applyBorder="1"/>
    <xf numFmtId="0" fontId="0" fillId="0" borderId="5" xfId="0" applyBorder="1"/>
    <xf numFmtId="0" fontId="0" fillId="0" borderId="33" xfId="0" applyBorder="1"/>
    <xf numFmtId="1" fontId="0" fillId="0" borderId="39" xfId="0" applyNumberFormat="1" applyBorder="1"/>
    <xf numFmtId="0" fontId="0" fillId="3" borderId="18" xfId="0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1" fontId="0" fillId="0" borderId="18" xfId="0" applyNumberFormat="1" applyBorder="1"/>
    <xf numFmtId="0" fontId="0" fillId="3" borderId="18" xfId="0" applyFill="1" applyBorder="1"/>
    <xf numFmtId="1" fontId="0" fillId="3" borderId="18" xfId="0" applyNumberFormat="1" applyFill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9" fontId="0" fillId="0" borderId="17" xfId="0" applyNumberFormat="1" applyBorder="1"/>
    <xf numFmtId="9" fontId="0" fillId="3" borderId="17" xfId="0" applyNumberFormat="1" applyFill="1" applyBorder="1"/>
    <xf numFmtId="0" fontId="0" fillId="3" borderId="19" xfId="0" applyFill="1" applyBorder="1"/>
    <xf numFmtId="9" fontId="0" fillId="0" borderId="37" xfId="0" applyNumberFormat="1" applyBorder="1"/>
    <xf numFmtId="0" fontId="0" fillId="0" borderId="51" xfId="0" applyBorder="1"/>
    <xf numFmtId="0" fontId="0" fillId="0" borderId="38" xfId="0" applyBorder="1"/>
    <xf numFmtId="0" fontId="0" fillId="0" borderId="12" xfId="0" applyBorder="1"/>
    <xf numFmtId="9" fontId="0" fillId="0" borderId="16" xfId="0" applyNumberFormat="1" applyBorder="1"/>
    <xf numFmtId="9" fontId="0" fillId="0" borderId="19" xfId="0" applyNumberFormat="1" applyBorder="1"/>
    <xf numFmtId="9" fontId="0" fillId="0" borderId="38" xfId="0" applyNumberFormat="1" applyBorder="1"/>
    <xf numFmtId="0" fontId="0" fillId="10" borderId="16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9" fontId="0" fillId="10" borderId="19" xfId="0" applyNumberFormat="1" applyFill="1" applyBorder="1"/>
    <xf numFmtId="0" fontId="0" fillId="8" borderId="45" xfId="0" applyFill="1" applyBorder="1"/>
    <xf numFmtId="0" fontId="0" fillId="0" borderId="13" xfId="0" applyBorder="1"/>
    <xf numFmtId="0" fontId="0" fillId="0" borderId="16" xfId="0" applyBorder="1"/>
    <xf numFmtId="0" fontId="0" fillId="3" borderId="12" xfId="0" applyFill="1" applyBorder="1"/>
    <xf numFmtId="0" fontId="0" fillId="3" borderId="17" xfId="0" applyFill="1" applyBorder="1"/>
    <xf numFmtId="0" fontId="0" fillId="3" borderId="37" xfId="0" applyFill="1" applyBorder="1"/>
    <xf numFmtId="0" fontId="0" fillId="8" borderId="55" xfId="0" applyFill="1" applyBorder="1"/>
    <xf numFmtId="0" fontId="0" fillId="8" borderId="49" xfId="0" applyFill="1" applyBorder="1"/>
    <xf numFmtId="1" fontId="0" fillId="8" borderId="47" xfId="0" applyNumberFormat="1" applyFill="1" applyBorder="1"/>
    <xf numFmtId="1" fontId="0" fillId="0" borderId="19" xfId="0" applyNumberFormat="1" applyBorder="1"/>
    <xf numFmtId="2" fontId="8" fillId="15" borderId="38" xfId="0" applyNumberFormat="1" applyFont="1" applyFill="1" applyBorder="1" applyAlignment="1">
      <alignment horizontal="center"/>
    </xf>
    <xf numFmtId="0" fontId="0" fillId="0" borderId="11" xfId="0" applyBorder="1"/>
    <xf numFmtId="0" fontId="15" fillId="15" borderId="45" xfId="0" applyFont="1" applyFill="1" applyBorder="1"/>
    <xf numFmtId="0" fontId="15" fillId="15" borderId="58" xfId="0" applyFont="1" applyFill="1" applyBorder="1"/>
    <xf numFmtId="0" fontId="15" fillId="15" borderId="56" xfId="0" applyFont="1" applyFill="1" applyBorder="1"/>
    <xf numFmtId="0" fontId="15" fillId="15" borderId="59" xfId="0" applyFont="1" applyFill="1" applyBorder="1"/>
    <xf numFmtId="0" fontId="15" fillId="15" borderId="60" xfId="0" applyFont="1" applyFill="1" applyBorder="1"/>
    <xf numFmtId="0" fontId="15" fillId="15" borderId="61" xfId="0" applyFont="1" applyFill="1" applyBorder="1"/>
    <xf numFmtId="0" fontId="16" fillId="0" borderId="0" xfId="0" applyFont="1"/>
    <xf numFmtId="0" fontId="15" fillId="7" borderId="55" xfId="0" applyFont="1" applyFill="1" applyBorder="1"/>
    <xf numFmtId="0" fontId="15" fillId="7" borderId="56" xfId="0" applyFont="1" applyFill="1" applyBorder="1" applyAlignment="1">
      <alignment horizontal="center"/>
    </xf>
    <xf numFmtId="0" fontId="15" fillId="7" borderId="62" xfId="0" applyFont="1" applyFill="1" applyBorder="1" applyAlignment="1">
      <alignment horizontal="center"/>
    </xf>
    <xf numFmtId="3" fontId="15" fillId="7" borderId="15" xfId="0" applyNumberFormat="1" applyFont="1" applyFill="1" applyBorder="1" applyAlignment="1">
      <alignment horizontal="center"/>
    </xf>
    <xf numFmtId="3" fontId="15" fillId="7" borderId="14" xfId="0" applyNumberFormat="1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3" fontId="15" fillId="2" borderId="44" xfId="0" applyNumberFormat="1" applyFont="1" applyFill="1" applyBorder="1" applyAlignment="1">
      <alignment horizontal="center"/>
    </xf>
    <xf numFmtId="3" fontId="15" fillId="2" borderId="13" xfId="0" applyNumberFormat="1" applyFont="1" applyFill="1" applyBorder="1" applyAlignment="1">
      <alignment horizontal="center"/>
    </xf>
    <xf numFmtId="3" fontId="15" fillId="2" borderId="16" xfId="0" applyNumberFormat="1" applyFont="1" applyFill="1" applyBorder="1" applyAlignment="1">
      <alignment horizontal="center"/>
    </xf>
    <xf numFmtId="3" fontId="0" fillId="0" borderId="0" xfId="0" applyNumberFormat="1"/>
    <xf numFmtId="0" fontId="15" fillId="7" borderId="49" xfId="0" applyFont="1" applyFill="1" applyBorder="1"/>
    <xf numFmtId="0" fontId="15" fillId="7" borderId="8" xfId="0" applyFont="1" applyFill="1" applyBorder="1" applyAlignment="1">
      <alignment horizontal="center"/>
    </xf>
    <xf numFmtId="0" fontId="15" fillId="7" borderId="63" xfId="0" applyFont="1" applyFill="1" applyBorder="1" applyAlignment="1">
      <alignment horizontal="center"/>
    </xf>
    <xf numFmtId="3" fontId="15" fillId="7" borderId="1" xfId="0" applyNumberFormat="1" applyFont="1" applyFill="1" applyBorder="1" applyAlignment="1">
      <alignment horizontal="center"/>
    </xf>
    <xf numFmtId="3" fontId="15" fillId="7" borderId="64" xfId="0" applyNumberFormat="1" applyFont="1" applyFill="1" applyBorder="1" applyAlignment="1">
      <alignment horizontal="center"/>
    </xf>
    <xf numFmtId="0" fontId="15" fillId="2" borderId="64" xfId="0" applyFont="1" applyFill="1" applyBorder="1" applyAlignment="1">
      <alignment horizontal="center"/>
    </xf>
    <xf numFmtId="3" fontId="15" fillId="2" borderId="34" xfId="0" applyNumberFormat="1" applyFont="1" applyFill="1" applyBorder="1" applyAlignment="1">
      <alignment horizontal="center"/>
    </xf>
    <xf numFmtId="3" fontId="15" fillId="2" borderId="18" xfId="0" applyNumberFormat="1" applyFont="1" applyFill="1" applyBorder="1" applyAlignment="1">
      <alignment horizontal="center"/>
    </xf>
    <xf numFmtId="3" fontId="15" fillId="2" borderId="19" xfId="0" applyNumberFormat="1" applyFont="1" applyFill="1" applyBorder="1" applyAlignment="1">
      <alignment horizontal="center"/>
    </xf>
    <xf numFmtId="0" fontId="15" fillId="17" borderId="49" xfId="0" applyFont="1" applyFill="1" applyBorder="1"/>
    <xf numFmtId="0" fontId="15" fillId="17" borderId="50" xfId="0" applyFont="1" applyFill="1" applyBorder="1" applyAlignment="1">
      <alignment horizontal="center"/>
    </xf>
    <xf numFmtId="0" fontId="15" fillId="17" borderId="10" xfId="0" applyFont="1" applyFill="1" applyBorder="1" applyAlignment="1">
      <alignment horizontal="center"/>
    </xf>
    <xf numFmtId="3" fontId="15" fillId="17" borderId="5" xfId="0" applyNumberFormat="1" applyFont="1" applyFill="1" applyBorder="1" applyAlignment="1">
      <alignment horizontal="center"/>
    </xf>
    <xf numFmtId="3" fontId="15" fillId="17" borderId="65" xfId="0" applyNumberFormat="1" applyFont="1" applyFill="1" applyBorder="1" applyAlignment="1">
      <alignment horizontal="center"/>
    </xf>
    <xf numFmtId="0" fontId="15" fillId="2" borderId="65" xfId="0" applyFont="1" applyFill="1" applyBorder="1" applyAlignment="1">
      <alignment horizontal="center"/>
    </xf>
    <xf numFmtId="3" fontId="15" fillId="2" borderId="54" xfId="0" applyNumberFormat="1" applyFont="1" applyFill="1" applyBorder="1" applyAlignment="1">
      <alignment horizontal="center"/>
    </xf>
    <xf numFmtId="3" fontId="15" fillId="2" borderId="51" xfId="0" applyNumberFormat="1" applyFont="1" applyFill="1" applyBorder="1" applyAlignment="1">
      <alignment horizontal="center"/>
    </xf>
    <xf numFmtId="0" fontId="15" fillId="12" borderId="49" xfId="0" applyFont="1" applyFill="1" applyBorder="1"/>
    <xf numFmtId="0" fontId="15" fillId="12" borderId="50" xfId="0" applyFont="1" applyFill="1" applyBorder="1" applyAlignment="1">
      <alignment horizontal="center"/>
    </xf>
    <xf numFmtId="0" fontId="15" fillId="12" borderId="8" xfId="0" applyFont="1" applyFill="1" applyBorder="1" applyAlignment="1">
      <alignment horizontal="center"/>
    </xf>
    <xf numFmtId="3" fontId="15" fillId="12" borderId="4" xfId="0" applyNumberFormat="1" applyFont="1" applyFill="1" applyBorder="1" applyAlignment="1">
      <alignment horizontal="center"/>
    </xf>
    <xf numFmtId="3" fontId="15" fillId="12" borderId="0" xfId="0" applyNumberFormat="1" applyFont="1" applyFill="1" applyAlignment="1">
      <alignment horizontal="center"/>
    </xf>
    <xf numFmtId="0" fontId="15" fillId="10" borderId="48" xfId="0" applyFont="1" applyFill="1" applyBorder="1" applyAlignment="1">
      <alignment horizontal="center"/>
    </xf>
    <xf numFmtId="3" fontId="15" fillId="2" borderId="6" xfId="0" applyNumberFormat="1" applyFont="1" applyFill="1" applyBorder="1" applyAlignment="1">
      <alignment horizontal="center"/>
    </xf>
    <xf numFmtId="3" fontId="15" fillId="2" borderId="7" xfId="0" applyNumberFormat="1" applyFont="1" applyFill="1" applyBorder="1" applyAlignment="1">
      <alignment horizontal="center"/>
    </xf>
    <xf numFmtId="3" fontId="15" fillId="2" borderId="41" xfId="0" applyNumberFormat="1" applyFont="1" applyFill="1" applyBorder="1" applyAlignment="1">
      <alignment horizontal="center"/>
    </xf>
    <xf numFmtId="0" fontId="17" fillId="18" borderId="49" xfId="0" applyFont="1" applyFill="1" applyBorder="1"/>
    <xf numFmtId="0" fontId="17" fillId="18" borderId="50" xfId="0" applyFont="1" applyFill="1" applyBorder="1" applyAlignment="1">
      <alignment horizontal="center"/>
    </xf>
    <xf numFmtId="3" fontId="17" fillId="18" borderId="10" xfId="0" applyNumberFormat="1" applyFont="1" applyFill="1" applyBorder="1" applyAlignment="1">
      <alignment horizontal="center"/>
    </xf>
    <xf numFmtId="0" fontId="17" fillId="18" borderId="10" xfId="0" applyFont="1" applyFill="1" applyBorder="1" applyAlignment="1">
      <alignment horizontal="center"/>
    </xf>
    <xf numFmtId="3" fontId="17" fillId="18" borderId="8" xfId="0" applyNumberFormat="1" applyFont="1" applyFill="1" applyBorder="1" applyAlignment="1">
      <alignment horizontal="center"/>
    </xf>
    <xf numFmtId="3" fontId="17" fillId="18" borderId="66" xfId="0" applyNumberFormat="1" applyFont="1" applyFill="1" applyBorder="1" applyAlignment="1">
      <alignment horizontal="center"/>
    </xf>
    <xf numFmtId="3" fontId="17" fillId="18" borderId="7" xfId="0" applyNumberFormat="1" applyFont="1" applyFill="1" applyBorder="1" applyAlignment="1">
      <alignment horizontal="center"/>
    </xf>
    <xf numFmtId="3" fontId="17" fillId="18" borderId="41" xfId="0" applyNumberFormat="1" applyFont="1" applyFill="1" applyBorder="1" applyAlignment="1">
      <alignment horizontal="center"/>
    </xf>
    <xf numFmtId="3" fontId="15" fillId="12" borderId="8" xfId="0" applyNumberFormat="1" applyFont="1" applyFill="1" applyBorder="1" applyAlignment="1">
      <alignment horizontal="center"/>
    </xf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19" borderId="49" xfId="0" applyFont="1" applyFill="1" applyBorder="1"/>
    <xf numFmtId="0" fontId="15" fillId="19" borderId="50" xfId="0" applyFont="1" applyFill="1" applyBorder="1" applyAlignment="1">
      <alignment horizontal="center"/>
    </xf>
    <xf numFmtId="0" fontId="15" fillId="19" borderId="8" xfId="0" applyFont="1" applyFill="1" applyBorder="1" applyAlignment="1">
      <alignment horizontal="center"/>
    </xf>
    <xf numFmtId="3" fontId="15" fillId="19" borderId="8" xfId="0" applyNumberFormat="1" applyFont="1" applyFill="1" applyBorder="1" applyAlignment="1">
      <alignment horizontal="center"/>
    </xf>
    <xf numFmtId="0" fontId="15" fillId="0" borderId="0" xfId="0" applyFont="1"/>
    <xf numFmtId="0" fontId="15" fillId="3" borderId="9" xfId="0" applyFont="1" applyFill="1" applyBorder="1"/>
    <xf numFmtId="0" fontId="15" fillId="3" borderId="10" xfId="0" applyFont="1" applyFill="1" applyBorder="1" applyAlignment="1">
      <alignment horizontal="center"/>
    </xf>
    <xf numFmtId="3" fontId="15" fillId="3" borderId="30" xfId="0" applyNumberFormat="1" applyFont="1" applyFill="1" applyBorder="1" applyAlignment="1">
      <alignment horizontal="center"/>
    </xf>
    <xf numFmtId="0" fontId="16" fillId="2" borderId="12" xfId="0" applyFont="1" applyFill="1" applyBorder="1"/>
    <xf numFmtId="3" fontId="0" fillId="2" borderId="16" xfId="0" applyNumberFormat="1" applyFill="1" applyBorder="1"/>
    <xf numFmtId="0" fontId="16" fillId="2" borderId="17" xfId="0" applyFont="1" applyFill="1" applyBorder="1"/>
    <xf numFmtId="3" fontId="0" fillId="2" borderId="19" xfId="0" applyNumberFormat="1" applyFill="1" applyBorder="1"/>
    <xf numFmtId="0" fontId="16" fillId="2" borderId="37" xfId="0" applyFont="1" applyFill="1" applyBorder="1"/>
    <xf numFmtId="0" fontId="0" fillId="2" borderId="38" xfId="0" applyFill="1" applyBorder="1"/>
    <xf numFmtId="0" fontId="16" fillId="0" borderId="0" xfId="0" applyFont="1" applyAlignment="1">
      <alignment horizontal="right"/>
    </xf>
    <xf numFmtId="3" fontId="0" fillId="0" borderId="18" xfId="0" applyNumberFormat="1" applyBorder="1"/>
    <xf numFmtId="0" fontId="0" fillId="12" borderId="1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</a:t>
            </a:r>
            <a:r>
              <a:rPr lang="en-US" baseline="0"/>
              <a:t> Turno de Trabajo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Costos Variables</c:v>
              </c:pt>
              <c:pt idx="1">
                <c:v>Costos Fijos</c:v>
              </c:pt>
            </c:strLit>
          </c:cat>
          <c:val>
            <c:numRef>
              <c:f>'Flujo de Caja'!$Y$3:$Y$4</c:f>
              <c:numCache>
                <c:formatCode>0</c:formatCode>
                <c:ptCount val="2"/>
                <c:pt idx="0">
                  <c:v>47559650.337770402</c:v>
                </c:pt>
                <c:pt idx="1">
                  <c:v>8736700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C7-4830-952C-6F8F2616EDC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Dos</a:t>
            </a:r>
            <a:r>
              <a:rPr lang="es-AR" baseline="0"/>
              <a:t> Turnos de Trabajo</a:t>
            </a:r>
            <a:endParaRPr lang="es-AR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Costos Variables</c:v>
              </c:pt>
              <c:pt idx="1">
                <c:v>Costos Fijos</c:v>
              </c:pt>
            </c:strLit>
          </c:cat>
          <c:val>
            <c:numRef>
              <c:f>'Flujo de Caja'!$Y$7:$Y$8</c:f>
              <c:numCache>
                <c:formatCode>0</c:formatCode>
                <c:ptCount val="2"/>
                <c:pt idx="0">
                  <c:v>167679677.14636832</c:v>
                </c:pt>
                <c:pt idx="1">
                  <c:v>21327400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2-4E72-A443-7AF89F77A7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Dos</a:t>
            </a:r>
            <a:r>
              <a:rPr lang="es-AR" baseline="0"/>
              <a:t> Turnos + Ampliacíon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Costos Variables</c:v>
              </c:pt>
              <c:pt idx="1">
                <c:v>Costos Fijos</c:v>
              </c:pt>
            </c:strLit>
          </c:cat>
          <c:val>
            <c:numRef>
              <c:f>'Flujo de Caja'!$Z$11:$Z$12</c:f>
              <c:numCache>
                <c:formatCode>General</c:formatCode>
                <c:ptCount val="2"/>
                <c:pt idx="0">
                  <c:v>482256911.49580848</c:v>
                </c:pt>
                <c:pt idx="1">
                  <c:v>45931100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7-4663-8933-882DBA41B8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Variacíon</a:t>
            </a:r>
            <a:r>
              <a:rPr lang="es-AR" baseline="0"/>
              <a:t> del precio de la Merluza</a:t>
            </a:r>
          </a:p>
        </c:rich>
      </c:tx>
      <c:layout>
        <c:manualLayout>
          <c:xMode val="edge"/>
          <c:yMode val="edge"/>
          <c:x val="0.17708026880561775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'Flujo de Caja'!$H$48:$H$59</c:f>
              <c:numCache>
                <c:formatCode>0%</c:formatCode>
                <c:ptCount val="12"/>
                <c:pt idx="0">
                  <c:v>-0.2</c:v>
                </c:pt>
                <c:pt idx="1">
                  <c:v>-0.1</c:v>
                </c:pt>
                <c:pt idx="2">
                  <c:v>-0.05</c:v>
                </c:pt>
                <c:pt idx="3">
                  <c:v>0</c:v>
                </c:pt>
                <c:pt idx="4">
                  <c:v>0.05</c:v>
                </c:pt>
                <c:pt idx="5">
                  <c:v>0.1</c:v>
                </c:pt>
                <c:pt idx="6">
                  <c:v>0.2</c:v>
                </c:pt>
                <c:pt idx="7">
                  <c:v>0.25</c:v>
                </c:pt>
                <c:pt idx="8">
                  <c:v>0.26</c:v>
                </c:pt>
                <c:pt idx="9">
                  <c:v>0.27</c:v>
                </c:pt>
                <c:pt idx="10">
                  <c:v>0.3</c:v>
                </c:pt>
                <c:pt idx="11">
                  <c:v>0.4</c:v>
                </c:pt>
              </c:numCache>
            </c:numRef>
          </c:cat>
          <c:val>
            <c:numRef>
              <c:f>'Flujo de Caja'!$G$48:$G$59</c:f>
              <c:numCache>
                <c:formatCode>General</c:formatCode>
                <c:ptCount val="12"/>
                <c:pt idx="0">
                  <c:v>69</c:v>
                </c:pt>
                <c:pt idx="1">
                  <c:v>58</c:v>
                </c:pt>
                <c:pt idx="2">
                  <c:v>53</c:v>
                </c:pt>
                <c:pt idx="3">
                  <c:v>47</c:v>
                </c:pt>
                <c:pt idx="4">
                  <c:v>41</c:v>
                </c:pt>
                <c:pt idx="5">
                  <c:v>35</c:v>
                </c:pt>
                <c:pt idx="6">
                  <c:v>23</c:v>
                </c:pt>
                <c:pt idx="7">
                  <c:v>17</c:v>
                </c:pt>
                <c:pt idx="8">
                  <c:v>16</c:v>
                </c:pt>
                <c:pt idx="9">
                  <c:v>14</c:v>
                </c:pt>
                <c:pt idx="10">
                  <c:v>10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AB-451C-8C08-656BC47A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25184"/>
        <c:axId val="81011072"/>
      </c:lineChart>
      <c:catAx>
        <c:axId val="7332518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crossAx val="81011072"/>
        <c:crosses val="autoZero"/>
        <c:auto val="1"/>
        <c:lblAlgn val="ctr"/>
        <c:lblOffset val="100"/>
        <c:noMultiLvlLbl val="0"/>
      </c:catAx>
      <c:valAx>
        <c:axId val="8101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s-AR" sz="1800"/>
                  <a:t>TIR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32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TIR</c:v>
          </c:tx>
          <c:marker>
            <c:symbol val="none"/>
          </c:marker>
          <c:cat>
            <c:numRef>
              <c:f>'Flujo de Caja'!$L$33:$L$56</c:f>
              <c:numCache>
                <c:formatCode>General</c:formatCode>
                <c:ptCount val="24"/>
                <c:pt idx="0">
                  <c:v>4.0999999999999996</c:v>
                </c:pt>
                <c:pt idx="1">
                  <c:v>4.1500000000000004</c:v>
                </c:pt>
                <c:pt idx="2">
                  <c:v>4.2</c:v>
                </c:pt>
                <c:pt idx="3">
                  <c:v>4.21</c:v>
                </c:pt>
                <c:pt idx="4">
                  <c:v>4.25</c:v>
                </c:pt>
                <c:pt idx="5">
                  <c:v>4.3</c:v>
                </c:pt>
                <c:pt idx="6">
                  <c:v>4.4000000000000004</c:v>
                </c:pt>
                <c:pt idx="7">
                  <c:v>4.5</c:v>
                </c:pt>
                <c:pt idx="8">
                  <c:v>4.5999999999999996</c:v>
                </c:pt>
                <c:pt idx="9">
                  <c:v>4.7</c:v>
                </c:pt>
                <c:pt idx="10">
                  <c:v>4.8</c:v>
                </c:pt>
                <c:pt idx="11">
                  <c:v>4.9000000000000004</c:v>
                </c:pt>
                <c:pt idx="12">
                  <c:v>4.95</c:v>
                </c:pt>
                <c:pt idx="13">
                  <c:v>5</c:v>
                </c:pt>
                <c:pt idx="14">
                  <c:v>5.0999999999999996</c:v>
                </c:pt>
                <c:pt idx="15">
                  <c:v>5.2</c:v>
                </c:pt>
                <c:pt idx="16">
                  <c:v>5.3</c:v>
                </c:pt>
                <c:pt idx="17">
                  <c:v>5.4</c:v>
                </c:pt>
                <c:pt idx="18">
                  <c:v>5.5</c:v>
                </c:pt>
                <c:pt idx="19">
                  <c:v>5.6</c:v>
                </c:pt>
                <c:pt idx="20">
                  <c:v>5.7</c:v>
                </c:pt>
                <c:pt idx="21">
                  <c:v>5.8</c:v>
                </c:pt>
                <c:pt idx="22">
                  <c:v>5.9</c:v>
                </c:pt>
                <c:pt idx="23">
                  <c:v>6</c:v>
                </c:pt>
              </c:numCache>
            </c:numRef>
          </c:cat>
          <c:val>
            <c:numRef>
              <c:f>'Flujo de Caja'!$M$33:$M$56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7</c:v>
                </c:pt>
                <c:pt idx="6">
                  <c:v>14</c:v>
                </c:pt>
                <c:pt idx="7">
                  <c:v>21</c:v>
                </c:pt>
                <c:pt idx="8">
                  <c:v>27</c:v>
                </c:pt>
                <c:pt idx="9">
                  <c:v>33</c:v>
                </c:pt>
                <c:pt idx="10">
                  <c:v>39</c:v>
                </c:pt>
                <c:pt idx="11">
                  <c:v>44</c:v>
                </c:pt>
                <c:pt idx="12">
                  <c:v>47</c:v>
                </c:pt>
                <c:pt idx="13">
                  <c:v>50</c:v>
                </c:pt>
                <c:pt idx="14">
                  <c:v>55</c:v>
                </c:pt>
                <c:pt idx="15">
                  <c:v>60</c:v>
                </c:pt>
                <c:pt idx="16">
                  <c:v>65</c:v>
                </c:pt>
                <c:pt idx="17">
                  <c:v>70</c:v>
                </c:pt>
                <c:pt idx="18">
                  <c:v>75</c:v>
                </c:pt>
                <c:pt idx="19">
                  <c:v>79</c:v>
                </c:pt>
                <c:pt idx="20">
                  <c:v>84</c:v>
                </c:pt>
                <c:pt idx="21">
                  <c:v>89</c:v>
                </c:pt>
                <c:pt idx="22">
                  <c:v>93</c:v>
                </c:pt>
                <c:pt idx="23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4B-40C7-8FC1-8371EA24B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47552"/>
        <c:axId val="81049088"/>
      </c:lineChart>
      <c:catAx>
        <c:axId val="8104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049088"/>
        <c:crosses val="autoZero"/>
        <c:auto val="1"/>
        <c:lblAlgn val="ctr"/>
        <c:lblOffset val="100"/>
        <c:noMultiLvlLbl val="0"/>
      </c:catAx>
      <c:valAx>
        <c:axId val="81049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04755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Ingresos por Ventas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'Flujo de Caja'!$O$16:$X$16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0-406C-834B-13D65C48AACB}"/>
            </c:ext>
          </c:extLst>
        </c:ser>
        <c:ser>
          <c:idx val="1"/>
          <c:order val="1"/>
          <c:invertIfNegative val="0"/>
          <c:val>
            <c:numRef>
              <c:f>'Flujo de Caja'!$O$17:$X$17</c:f>
              <c:numCache>
                <c:formatCode>General</c:formatCode>
                <c:ptCount val="10"/>
                <c:pt idx="0">
                  <c:v>30569999.959522501</c:v>
                </c:pt>
                <c:pt idx="1">
                  <c:v>32189999.956687499</c:v>
                </c:pt>
                <c:pt idx="2">
                  <c:v>65309999.898727499</c:v>
                </c:pt>
                <c:pt idx="3">
                  <c:v>65309999.898727499</c:v>
                </c:pt>
                <c:pt idx="4">
                  <c:v>96989999.843287498</c:v>
                </c:pt>
                <c:pt idx="5">
                  <c:v>131549999.7828075</c:v>
                </c:pt>
                <c:pt idx="6">
                  <c:v>131549999.7828075</c:v>
                </c:pt>
                <c:pt idx="7">
                  <c:v>131549999.7828075</c:v>
                </c:pt>
                <c:pt idx="8">
                  <c:v>131549999.7828075</c:v>
                </c:pt>
                <c:pt idx="9">
                  <c:v>131549999.7828075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60-406C-834B-13D65C48A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3971584"/>
        <c:axId val="34009088"/>
      </c:barChart>
      <c:catAx>
        <c:axId val="33971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34009088"/>
        <c:crosses val="autoZero"/>
        <c:auto val="1"/>
        <c:lblAlgn val="ctr"/>
        <c:lblOffset val="100"/>
        <c:noMultiLvlLbl val="0"/>
      </c:catAx>
      <c:valAx>
        <c:axId val="340090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97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Costos y Gastos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'Costos Variables'!$V$13:$V$17</c:f>
              <c:strCache>
                <c:ptCount val="5"/>
                <c:pt idx="0">
                  <c:v>Costos Variables</c:v>
                </c:pt>
                <c:pt idx="1">
                  <c:v>Costos Fijos</c:v>
                </c:pt>
                <c:pt idx="2">
                  <c:v>Costo Financiación</c:v>
                </c:pt>
                <c:pt idx="3">
                  <c:v>Costo de Amortización</c:v>
                </c:pt>
                <c:pt idx="4">
                  <c:v>Costo de Aministración</c:v>
                </c:pt>
              </c:strCache>
            </c:strRef>
          </c:cat>
          <c:val>
            <c:numRef>
              <c:f>'Costos Variables'!$W$13:$W$17</c:f>
              <c:numCache>
                <c:formatCode>General</c:formatCode>
                <c:ptCount val="5"/>
                <c:pt idx="0" formatCode="#,##0">
                  <c:v>23446804.762980029</c:v>
                </c:pt>
                <c:pt idx="1">
                  <c:v>1514500</c:v>
                </c:pt>
                <c:pt idx="2" formatCode="0">
                  <c:v>1012906.0724999999</c:v>
                </c:pt>
                <c:pt idx="3" formatCode="0">
                  <c:v>1121557.8800000001</c:v>
                </c:pt>
                <c:pt idx="4">
                  <c:v>1222799.9983808999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3-4AE9-8659-653E9C9D21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381000</xdr:colOff>
      <xdr:row>0</xdr:row>
      <xdr:rowOff>101974</xdr:rowOff>
    </xdr:from>
    <xdr:to>
      <xdr:col>31</xdr:col>
      <xdr:colOff>268941</xdr:colOff>
      <xdr:row>8</xdr:row>
      <xdr:rowOff>100854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414618</xdr:colOff>
      <xdr:row>9</xdr:row>
      <xdr:rowOff>101974</xdr:rowOff>
    </xdr:from>
    <xdr:to>
      <xdr:col>31</xdr:col>
      <xdr:colOff>257736</xdr:colOff>
      <xdr:row>18</xdr:row>
      <xdr:rowOff>168088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493059</xdr:colOff>
      <xdr:row>20</xdr:row>
      <xdr:rowOff>34736</xdr:rowOff>
    </xdr:from>
    <xdr:to>
      <xdr:col>31</xdr:col>
      <xdr:colOff>313765</xdr:colOff>
      <xdr:row>28</xdr:row>
      <xdr:rowOff>134469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300959</xdr:colOff>
      <xdr:row>47</xdr:row>
      <xdr:rowOff>47544</xdr:rowOff>
    </xdr:from>
    <xdr:to>
      <xdr:col>19</xdr:col>
      <xdr:colOff>304161</xdr:colOff>
      <xdr:row>61</xdr:row>
      <xdr:rowOff>101332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299358</xdr:colOff>
      <xdr:row>31</xdr:row>
      <xdr:rowOff>200025</xdr:rowOff>
    </xdr:from>
    <xdr:to>
      <xdr:col>19</xdr:col>
      <xdr:colOff>299358</xdr:colOff>
      <xdr:row>46</xdr:row>
      <xdr:rowOff>58511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748394</xdr:colOff>
      <xdr:row>18</xdr:row>
      <xdr:rowOff>50346</xdr:rowOff>
    </xdr:from>
    <xdr:to>
      <xdr:col>21</xdr:col>
      <xdr:colOff>748394</xdr:colOff>
      <xdr:row>30</xdr:row>
      <xdr:rowOff>17689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209550</xdr:colOff>
      <xdr:row>5</xdr:row>
      <xdr:rowOff>42862</xdr:rowOff>
    </xdr:from>
    <xdr:to>
      <xdr:col>24</xdr:col>
      <xdr:colOff>333375</xdr:colOff>
      <xdr:row>19</xdr:row>
      <xdr:rowOff>42862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9"/>
  <sheetViews>
    <sheetView tabSelected="1" topLeftCell="B28" zoomScale="70" zoomScaleNormal="70" workbookViewId="0">
      <selection activeCell="G32" sqref="G32:J44"/>
    </sheetView>
  </sheetViews>
  <sheetFormatPr baseColWidth="10" defaultRowHeight="15" x14ac:dyDescent="0.25"/>
  <cols>
    <col min="1" max="1" width="48.85546875" bestFit="1" customWidth="1"/>
    <col min="2" max="2" width="15.42578125" bestFit="1" customWidth="1"/>
    <col min="3" max="3" width="17.5703125" bestFit="1" customWidth="1"/>
    <col min="4" max="8" width="15" bestFit="1" customWidth="1"/>
    <col min="9" max="13" width="15.5703125" bestFit="1" customWidth="1"/>
  </cols>
  <sheetData>
    <row r="1" spans="1:26" ht="15.75" thickBot="1" x14ac:dyDescent="0.3"/>
    <row r="2" spans="1:26" ht="19.5" thickBot="1" x14ac:dyDescent="0.35">
      <c r="A2" s="155"/>
      <c r="B2" s="156"/>
      <c r="C2" s="157">
        <v>0</v>
      </c>
      <c r="D2" s="158">
        <v>1</v>
      </c>
      <c r="E2" s="158">
        <v>2</v>
      </c>
      <c r="F2" s="158">
        <v>3</v>
      </c>
      <c r="G2" s="158">
        <v>4</v>
      </c>
      <c r="H2" s="158">
        <v>5</v>
      </c>
      <c r="I2" s="158">
        <v>6</v>
      </c>
      <c r="J2" s="158">
        <v>7</v>
      </c>
      <c r="K2" s="158">
        <v>8</v>
      </c>
      <c r="L2" s="158">
        <v>9</v>
      </c>
      <c r="M2" s="159">
        <v>10</v>
      </c>
      <c r="V2" s="39">
        <v>1</v>
      </c>
      <c r="W2" s="40">
        <v>2</v>
      </c>
      <c r="X2" s="40"/>
      <c r="Y2" s="129" t="s">
        <v>55</v>
      </c>
    </row>
    <row r="3" spans="1:26" ht="18.75" x14ac:dyDescent="0.3">
      <c r="A3" s="228" t="s">
        <v>0</v>
      </c>
      <c r="B3" s="229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230"/>
      <c r="S3" s="275" t="s">
        <v>3</v>
      </c>
      <c r="T3" s="276"/>
      <c r="U3" s="273"/>
      <c r="V3" s="269">
        <v>23446804.762979999</v>
      </c>
      <c r="W3" s="269">
        <v>24112845.5747904</v>
      </c>
      <c r="X3" s="269"/>
      <c r="Y3" s="270">
        <f>SUM(V3:X3)</f>
        <v>47559650.337770402</v>
      </c>
    </row>
    <row r="4" spans="1:26" ht="19.5" thickBot="1" x14ac:dyDescent="0.35">
      <c r="A4" s="160" t="s">
        <v>1</v>
      </c>
      <c r="B4" s="161"/>
      <c r="C4" s="202"/>
      <c r="D4" s="202">
        <f>465000*I25+1285000*I26</f>
        <v>30569999.959522501</v>
      </c>
      <c r="E4" s="202">
        <f>465000*I25+1375000*I26</f>
        <v>32189999.956687499</v>
      </c>
      <c r="F4" s="202">
        <f>465000*I25+3215000*I26</f>
        <v>65309999.898727499</v>
      </c>
      <c r="G4" s="202">
        <f>465000*I25+3215000*I26</f>
        <v>65309999.898727499</v>
      </c>
      <c r="H4" s="202">
        <f>465000*I25+4975000*I26</f>
        <v>96989999.843287498</v>
      </c>
      <c r="I4" s="202">
        <f>465000*I25+6895000*I26</f>
        <v>131549999.7828075</v>
      </c>
      <c r="J4" s="202">
        <f>465000*I25+6895000*I26</f>
        <v>131549999.7828075</v>
      </c>
      <c r="K4" s="202">
        <f>465000*I25+6895000*I26</f>
        <v>131549999.7828075</v>
      </c>
      <c r="L4" s="202">
        <f>465000*I25+6895000*I26</f>
        <v>131549999.7828075</v>
      </c>
      <c r="M4" s="203">
        <f>465000*I25+6895000*I26</f>
        <v>131549999.7828075</v>
      </c>
      <c r="S4" s="277" t="s">
        <v>4</v>
      </c>
      <c r="T4" s="278"/>
      <c r="U4" s="274"/>
      <c r="V4" s="267">
        <v>4251700</v>
      </c>
      <c r="W4" s="267">
        <v>4485000</v>
      </c>
      <c r="X4" s="267"/>
      <c r="Y4" s="268">
        <f>SUM(V4:X4)</f>
        <v>8736700</v>
      </c>
    </row>
    <row r="5" spans="1:26" ht="19.5" thickBot="1" x14ac:dyDescent="0.35">
      <c r="A5" s="231" t="s">
        <v>2</v>
      </c>
      <c r="B5" s="232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4"/>
    </row>
    <row r="6" spans="1:26" ht="20.25" customHeight="1" thickBot="1" x14ac:dyDescent="0.35">
      <c r="A6" s="160" t="s">
        <v>3</v>
      </c>
      <c r="B6" s="161"/>
      <c r="C6" s="202"/>
      <c r="D6" s="202">
        <f>-'Costos Variables'!B48</f>
        <v>-23446804.762980029</v>
      </c>
      <c r="E6" s="202">
        <f>-'Costos Variables'!C48</f>
        <v>-24112845.574790426</v>
      </c>
      <c r="F6" s="202">
        <f>-'Costos Variables'!D48</f>
        <v>-48225691.149580851</v>
      </c>
      <c r="G6" s="202">
        <f>-'Costos Variables'!E48</f>
        <v>-48225691.149580851</v>
      </c>
      <c r="H6" s="202">
        <f>-'Costos Variables'!F48</f>
        <v>-71228294.847206503</v>
      </c>
      <c r="I6" s="202">
        <f>-'Costos Variables'!G48</f>
        <v>-96451382.299161702</v>
      </c>
      <c r="J6" s="202">
        <f>-'Costos Variables'!H48</f>
        <v>-96451382.299161702</v>
      </c>
      <c r="K6" s="202">
        <f>-'Costos Variables'!I48</f>
        <v>-96451382.299161702</v>
      </c>
      <c r="L6" s="202">
        <f>-'Costos Variables'!J48</f>
        <v>-96451382.299161702</v>
      </c>
      <c r="M6" s="202">
        <f>-'Costos Variables'!K48</f>
        <v>-96451382.299161702</v>
      </c>
      <c r="V6" s="271">
        <v>3</v>
      </c>
      <c r="W6" s="272">
        <v>4</v>
      </c>
      <c r="X6" s="272">
        <v>5</v>
      </c>
      <c r="Y6" s="243" t="s">
        <v>55</v>
      </c>
    </row>
    <row r="7" spans="1:26" ht="18.75" x14ac:dyDescent="0.3">
      <c r="A7" s="160" t="s">
        <v>4</v>
      </c>
      <c r="B7" s="161"/>
      <c r="C7" s="202"/>
      <c r="D7" s="202">
        <v>-4251700</v>
      </c>
      <c r="E7" s="202">
        <v>-4485000</v>
      </c>
      <c r="F7" s="202">
        <v>-5933900</v>
      </c>
      <c r="G7" s="202">
        <v>-6327200</v>
      </c>
      <c r="H7" s="202">
        <v>-9066300</v>
      </c>
      <c r="I7" s="202">
        <v>-9069600</v>
      </c>
      <c r="J7" s="202">
        <v>-8916300</v>
      </c>
      <c r="K7" s="202">
        <v>-9309600</v>
      </c>
      <c r="L7" s="202">
        <v>-8916300</v>
      </c>
      <c r="M7" s="203">
        <v>-9719300</v>
      </c>
      <c r="S7" s="275" t="s">
        <v>3</v>
      </c>
      <c r="T7" s="276"/>
      <c r="U7" s="273"/>
      <c r="V7" s="265">
        <v>48225691.149580903</v>
      </c>
      <c r="W7" s="265">
        <v>48225691.149580903</v>
      </c>
      <c r="X7" s="265">
        <v>71228294.847206503</v>
      </c>
      <c r="Y7" s="266">
        <f>SUM(V7:X7)</f>
        <v>167679677.14636832</v>
      </c>
    </row>
    <row r="8" spans="1:26" ht="19.5" thickBot="1" x14ac:dyDescent="0.35">
      <c r="A8" s="160" t="s">
        <v>5</v>
      </c>
      <c r="B8" s="161"/>
      <c r="C8" s="202"/>
      <c r="D8" s="202">
        <v>-1012906.0725</v>
      </c>
      <c r="E8" s="202">
        <v>-911615.46525000001</v>
      </c>
      <c r="F8" s="202">
        <v>-810324.85800000001</v>
      </c>
      <c r="G8" s="202">
        <v>-709034.25075000001</v>
      </c>
      <c r="H8" s="202">
        <v>-607743.64350000001</v>
      </c>
      <c r="I8" s="202">
        <v>-506453.03625</v>
      </c>
      <c r="J8" s="202">
        <v>-405162.429</v>
      </c>
      <c r="K8" s="202">
        <v>-303871.82175</v>
      </c>
      <c r="L8" s="202">
        <v>-202581.2145</v>
      </c>
      <c r="M8" s="203">
        <v>-101290.60725</v>
      </c>
      <c r="S8" s="277" t="s">
        <v>4</v>
      </c>
      <c r="T8" s="278"/>
      <c r="U8" s="274"/>
      <c r="V8" s="267">
        <v>5933900</v>
      </c>
      <c r="W8" s="267">
        <v>6327200</v>
      </c>
      <c r="X8" s="267">
        <v>9066300</v>
      </c>
      <c r="Y8" s="268">
        <f>SUM(V8:X8)</f>
        <v>21327400</v>
      </c>
    </row>
    <row r="9" spans="1:26" ht="19.5" thickBot="1" x14ac:dyDescent="0.35">
      <c r="A9" s="160" t="s">
        <v>6</v>
      </c>
      <c r="B9" s="161"/>
      <c r="C9" s="202"/>
      <c r="D9" s="202">
        <f>+D14*-1</f>
        <v>-1121557.8800000001</v>
      </c>
      <c r="E9" s="202">
        <f t="shared" ref="E9:M9" si="0">+E14*-1</f>
        <v>-1121557.8800000001</v>
      </c>
      <c r="F9" s="202">
        <f t="shared" si="0"/>
        <v>-1121557.8800000001</v>
      </c>
      <c r="G9" s="202">
        <f t="shared" si="0"/>
        <v>-1121557.8800000001</v>
      </c>
      <c r="H9" s="202">
        <f t="shared" si="0"/>
        <v>-1121557.8800000001</v>
      </c>
      <c r="I9" s="202">
        <f t="shared" si="0"/>
        <v>-1780124.88</v>
      </c>
      <c r="J9" s="202">
        <f t="shared" si="0"/>
        <v>-1780124.88</v>
      </c>
      <c r="K9" s="202">
        <f t="shared" si="0"/>
        <v>-1780124.88</v>
      </c>
      <c r="L9" s="202">
        <f t="shared" si="0"/>
        <v>-1780124.88</v>
      </c>
      <c r="M9" s="202">
        <f t="shared" si="0"/>
        <v>-1780124.88</v>
      </c>
    </row>
    <row r="10" spans="1:26" ht="19.5" thickBot="1" x14ac:dyDescent="0.35">
      <c r="A10" s="162" t="s">
        <v>135</v>
      </c>
      <c r="B10" s="163"/>
      <c r="C10" s="204"/>
      <c r="D10" s="204">
        <f>(D4*0.04)*-1</f>
        <v>-1222799.9983809001</v>
      </c>
      <c r="E10" s="204">
        <f t="shared" ref="E10:M10" si="1">(E4*0.04)*-1</f>
        <v>-1287599.9982675</v>
      </c>
      <c r="F10" s="204">
        <f t="shared" si="1"/>
        <v>-2612399.9959491002</v>
      </c>
      <c r="G10" s="204">
        <f t="shared" si="1"/>
        <v>-2612399.9959491002</v>
      </c>
      <c r="H10" s="204">
        <f t="shared" si="1"/>
        <v>-3879599.9937315001</v>
      </c>
      <c r="I10" s="204">
        <f t="shared" si="1"/>
        <v>-5261999.9913122999</v>
      </c>
      <c r="J10" s="204">
        <f t="shared" si="1"/>
        <v>-5261999.9913122999</v>
      </c>
      <c r="K10" s="204">
        <f t="shared" si="1"/>
        <v>-5261999.9913122999</v>
      </c>
      <c r="L10" s="204">
        <f t="shared" si="1"/>
        <v>-5261999.9913122999</v>
      </c>
      <c r="M10" s="204">
        <f t="shared" si="1"/>
        <v>-5261999.9913122999</v>
      </c>
      <c r="U10" s="15">
        <v>6</v>
      </c>
      <c r="V10" s="16">
        <v>7</v>
      </c>
      <c r="W10" s="16">
        <v>8</v>
      </c>
      <c r="X10" s="16">
        <v>9</v>
      </c>
      <c r="Y10" s="40">
        <v>10</v>
      </c>
      <c r="Z10" s="129" t="s">
        <v>55</v>
      </c>
    </row>
    <row r="11" spans="1:26" ht="26.25" customHeight="1" thickBot="1" x14ac:dyDescent="0.35">
      <c r="A11" s="235" t="s">
        <v>7</v>
      </c>
      <c r="B11" s="236"/>
      <c r="C11" s="237"/>
      <c r="D11" s="237">
        <f>SUM(D4:D10)</f>
        <v>-485768.75433842861</v>
      </c>
      <c r="E11" s="237">
        <f>SUM(E4:E10)</f>
        <v>271381.03837957326</v>
      </c>
      <c r="F11" s="237">
        <f>F4+F6+F7+F8+F9+F10</f>
        <v>6606126.0151975472</v>
      </c>
      <c r="G11" s="237">
        <f>G4+G6+G7+G8+G9+G10</f>
        <v>6314116.6224475466</v>
      </c>
      <c r="H11" s="237">
        <f t="shared" ref="H11:M11" si="2">SUM(H4:H10)</f>
        <v>11086503.478849493</v>
      </c>
      <c r="I11" s="237">
        <f t="shared" si="2"/>
        <v>18480439.5760835</v>
      </c>
      <c r="J11" s="237">
        <f t="shared" si="2"/>
        <v>18735030.183333497</v>
      </c>
      <c r="K11" s="237">
        <f t="shared" si="2"/>
        <v>18443020.790583499</v>
      </c>
      <c r="L11" s="237">
        <f t="shared" si="2"/>
        <v>18937611.3978335</v>
      </c>
      <c r="M11" s="238">
        <f t="shared" si="2"/>
        <v>18235902.005083498</v>
      </c>
      <c r="S11" s="275" t="s">
        <v>3</v>
      </c>
      <c r="T11" s="276"/>
      <c r="U11" s="281">
        <v>96451382.299161702</v>
      </c>
      <c r="V11" s="269">
        <v>96451382.299161702</v>
      </c>
      <c r="W11" s="269">
        <v>96451382.299161702</v>
      </c>
      <c r="X11" s="269">
        <v>96451382.299161702</v>
      </c>
      <c r="Y11" s="282">
        <v>96451382.299161702</v>
      </c>
      <c r="Z11" s="123">
        <f>SUM(U11:Y11)</f>
        <v>482256911.49580848</v>
      </c>
    </row>
    <row r="12" spans="1:26" ht="19.5" thickBot="1" x14ac:dyDescent="0.35">
      <c r="A12" s="164" t="s">
        <v>8</v>
      </c>
      <c r="B12" s="181">
        <v>0.35</v>
      </c>
      <c r="C12" s="206"/>
      <c r="D12" s="206">
        <f>(D11*0.35)*-1</f>
        <v>170019.06401845001</v>
      </c>
      <c r="E12" s="206">
        <f t="shared" ref="E12:M12" si="3">(E11*0.35)*-1</f>
        <v>-94983.36343285063</v>
      </c>
      <c r="F12" s="206">
        <f t="shared" si="3"/>
        <v>-2312144.1053191414</v>
      </c>
      <c r="G12" s="206">
        <f t="shared" si="3"/>
        <v>-2209940.817856641</v>
      </c>
      <c r="H12" s="206">
        <f t="shared" si="3"/>
        <v>-3880276.2175973221</v>
      </c>
      <c r="I12" s="206">
        <f t="shared" si="3"/>
        <v>-6468153.8516292246</v>
      </c>
      <c r="J12" s="206">
        <f t="shared" si="3"/>
        <v>-6557260.5641667238</v>
      </c>
      <c r="K12" s="206">
        <f t="shared" si="3"/>
        <v>-6455057.2767042238</v>
      </c>
      <c r="L12" s="206">
        <f>(L11*0.35)*-1</f>
        <v>-6628163.9892417248</v>
      </c>
      <c r="M12" s="207">
        <f t="shared" si="3"/>
        <v>-6382565.701779224</v>
      </c>
      <c r="S12" s="277" t="s">
        <v>4</v>
      </c>
      <c r="T12" s="278"/>
      <c r="U12" s="274">
        <v>9069600</v>
      </c>
      <c r="V12" s="267">
        <v>8916300</v>
      </c>
      <c r="W12" s="267">
        <v>9309600</v>
      </c>
      <c r="X12" s="267">
        <v>8916300</v>
      </c>
      <c r="Y12" s="279">
        <v>9719300</v>
      </c>
      <c r="Z12" s="280">
        <f>SUM(U12:Y12)</f>
        <v>45931100</v>
      </c>
    </row>
    <row r="13" spans="1:26" ht="25.5" customHeight="1" thickBot="1" x14ac:dyDescent="0.35">
      <c r="A13" s="235" t="s">
        <v>9</v>
      </c>
      <c r="B13" s="236"/>
      <c r="C13" s="237"/>
      <c r="D13" s="237">
        <f t="shared" ref="D13:M13" si="4">SUM(D11:D12)</f>
        <v>-315749.69031997863</v>
      </c>
      <c r="E13" s="237">
        <f t="shared" si="4"/>
        <v>176397.67494672263</v>
      </c>
      <c r="F13" s="237">
        <f t="shared" si="4"/>
        <v>4293981.9098784057</v>
      </c>
      <c r="G13" s="237">
        <f t="shared" si="4"/>
        <v>4104175.8045909056</v>
      </c>
      <c r="H13" s="237">
        <f t="shared" si="4"/>
        <v>7206227.2612521704</v>
      </c>
      <c r="I13" s="237">
        <f t="shared" si="4"/>
        <v>12012285.724454276</v>
      </c>
      <c r="J13" s="237">
        <f t="shared" si="4"/>
        <v>12177769.619166773</v>
      </c>
      <c r="K13" s="237">
        <f t="shared" si="4"/>
        <v>11987963.513879275</v>
      </c>
      <c r="L13" s="237">
        <f t="shared" si="4"/>
        <v>12309447.408591775</v>
      </c>
      <c r="M13" s="238">
        <f t="shared" si="4"/>
        <v>11853336.303304274</v>
      </c>
    </row>
    <row r="14" spans="1:26" ht="18.75" x14ac:dyDescent="0.3">
      <c r="A14" s="165" t="s">
        <v>6</v>
      </c>
      <c r="B14" s="166"/>
      <c r="C14" s="208"/>
      <c r="D14" s="208">
        <v>1121557.8800000001</v>
      </c>
      <c r="E14" s="208">
        <v>1121557.8800000001</v>
      </c>
      <c r="F14" s="208">
        <v>1121557.8800000001</v>
      </c>
      <c r="G14" s="208">
        <v>1121557.8800000001</v>
      </c>
      <c r="H14" s="208">
        <v>1121557.8800000001</v>
      </c>
      <c r="I14" s="208">
        <v>1780124.88</v>
      </c>
      <c r="J14" s="208">
        <v>1780124.88</v>
      </c>
      <c r="K14" s="208">
        <v>1780124.88</v>
      </c>
      <c r="L14" s="208">
        <v>1780124.88</v>
      </c>
      <c r="M14" s="209">
        <v>1780124.88</v>
      </c>
    </row>
    <row r="15" spans="1:26" ht="18.75" x14ac:dyDescent="0.3">
      <c r="A15" s="160" t="s">
        <v>10</v>
      </c>
      <c r="B15" s="161"/>
      <c r="C15" s="202">
        <v>-12540741.85</v>
      </c>
      <c r="D15" s="202"/>
      <c r="E15" s="202"/>
      <c r="F15" s="202"/>
      <c r="G15" s="202"/>
      <c r="H15" s="202">
        <v>-9692106</v>
      </c>
      <c r="I15" s="202"/>
      <c r="J15" s="202"/>
      <c r="K15" s="202"/>
      <c r="L15" s="202"/>
      <c r="M15" s="203"/>
    </row>
    <row r="16" spans="1:26" ht="18.75" x14ac:dyDescent="0.3">
      <c r="A16" s="160" t="s">
        <v>11</v>
      </c>
      <c r="B16" s="167" t="s">
        <v>129</v>
      </c>
      <c r="C16" s="202">
        <v>6752707.1499999994</v>
      </c>
      <c r="D16" s="202">
        <v>-675270.71499999997</v>
      </c>
      <c r="E16" s="202">
        <v>-675270.71499999997</v>
      </c>
      <c r="F16" s="202">
        <v>-675270.71499999997</v>
      </c>
      <c r="G16" s="202">
        <v>-675270.71499999997</v>
      </c>
      <c r="H16" s="202">
        <v>-675270.71499999997</v>
      </c>
      <c r="I16" s="202">
        <v>-675270.71499999997</v>
      </c>
      <c r="J16" s="202">
        <v>-675270.71499999997</v>
      </c>
      <c r="K16" s="202">
        <v>-675270.71499999997</v>
      </c>
      <c r="L16" s="202">
        <v>-675270.71499999997</v>
      </c>
      <c r="M16" s="203">
        <v>-675270.71499999997</v>
      </c>
      <c r="O16" s="387">
        <v>1</v>
      </c>
      <c r="P16" s="387">
        <v>2</v>
      </c>
      <c r="Q16" s="387">
        <v>3</v>
      </c>
      <c r="R16" s="387">
        <v>4</v>
      </c>
      <c r="S16" s="387">
        <v>5</v>
      </c>
      <c r="T16" s="387">
        <v>6</v>
      </c>
      <c r="U16" s="387">
        <v>7</v>
      </c>
      <c r="V16" s="387">
        <v>8</v>
      </c>
      <c r="W16" s="387">
        <v>9</v>
      </c>
      <c r="X16" s="387">
        <v>10</v>
      </c>
    </row>
    <row r="17" spans="1:24" ht="18.75" x14ac:dyDescent="0.3">
      <c r="A17" s="160" t="s">
        <v>12</v>
      </c>
      <c r="B17" s="161"/>
      <c r="C17" s="202">
        <v>-523299.2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3">
        <f>C17*(-1)</f>
        <v>523299.2</v>
      </c>
      <c r="O17" s="387">
        <v>30569999.959522501</v>
      </c>
      <c r="P17" s="387">
        <v>32189999.956687499</v>
      </c>
      <c r="Q17" s="387">
        <v>65309999.898727499</v>
      </c>
      <c r="R17" s="387">
        <v>65309999.898727499</v>
      </c>
      <c r="S17" s="387">
        <v>96989999.843287498</v>
      </c>
      <c r="T17" s="387">
        <v>131549999.7828075</v>
      </c>
      <c r="U17" s="387">
        <v>131549999.7828075</v>
      </c>
      <c r="V17" s="387">
        <v>131549999.7828075</v>
      </c>
      <c r="W17" s="387">
        <v>131549999.7828075</v>
      </c>
      <c r="X17" s="387">
        <v>131549999.7828075</v>
      </c>
    </row>
    <row r="18" spans="1:24" ht="19.5" thickBot="1" x14ac:dyDescent="0.35">
      <c r="A18" s="162" t="s">
        <v>130</v>
      </c>
      <c r="B18" s="163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205">
        <v>14135982.199999999</v>
      </c>
    </row>
    <row r="19" spans="1:24" ht="19.5" thickBot="1" x14ac:dyDescent="0.35">
      <c r="A19" s="239" t="s">
        <v>13</v>
      </c>
      <c r="B19" s="236"/>
      <c r="C19" s="240">
        <f>SUM(C15:C17)</f>
        <v>-6311333.9000000004</v>
      </c>
      <c r="D19" s="240">
        <f t="shared" ref="D19:L19" si="5">SUM(D13:D17)</f>
        <v>130537.47468002152</v>
      </c>
      <c r="E19" s="240">
        <f t="shared" si="5"/>
        <v>622684.83994672273</v>
      </c>
      <c r="F19" s="240">
        <f t="shared" si="5"/>
        <v>4740269.0748784058</v>
      </c>
      <c r="G19" s="240">
        <f t="shared" si="5"/>
        <v>4550462.9695909061</v>
      </c>
      <c r="H19" s="240">
        <f t="shared" si="5"/>
        <v>-2039591.5737478295</v>
      </c>
      <c r="I19" s="240">
        <f t="shared" si="5"/>
        <v>13117139.889454275</v>
      </c>
      <c r="J19" s="240">
        <f t="shared" si="5"/>
        <v>13282623.784166772</v>
      </c>
      <c r="K19" s="240">
        <f t="shared" si="5"/>
        <v>13092817.678879276</v>
      </c>
      <c r="L19" s="240">
        <f t="shared" si="5"/>
        <v>13414301.573591776</v>
      </c>
      <c r="M19" s="241">
        <f>SUM(M13:M18)</f>
        <v>27617471.868304271</v>
      </c>
    </row>
    <row r="20" spans="1:24" ht="18.75" x14ac:dyDescent="0.3">
      <c r="A20" s="155"/>
      <c r="B20" s="156"/>
      <c r="C20" s="200"/>
      <c r="D20" s="201"/>
      <c r="E20" s="201"/>
      <c r="F20" s="201"/>
      <c r="G20" s="201"/>
      <c r="H20" s="201"/>
      <c r="I20" s="201"/>
      <c r="J20" s="201"/>
      <c r="K20" s="201"/>
      <c r="L20" s="201"/>
      <c r="M20" s="201"/>
    </row>
    <row r="21" spans="1:24" ht="19.5" thickBot="1" x14ac:dyDescent="0.35">
      <c r="A21" s="155"/>
      <c r="B21" s="156"/>
      <c r="C21" s="200"/>
      <c r="D21" s="201"/>
      <c r="E21" s="201"/>
      <c r="F21" s="201"/>
      <c r="G21" s="201"/>
      <c r="H21" s="201"/>
      <c r="I21" s="201"/>
      <c r="J21" s="201"/>
      <c r="K21" s="201"/>
      <c r="L21" s="201"/>
      <c r="M21" s="201"/>
    </row>
    <row r="22" spans="1:24" ht="19.5" thickBot="1" x14ac:dyDescent="0.35">
      <c r="A22" s="168" t="s">
        <v>14</v>
      </c>
      <c r="B22" s="169"/>
      <c r="C22" s="198">
        <f>C19/(1+$C$26)^C2</f>
        <v>-6311333.9000000004</v>
      </c>
      <c r="D22" s="198">
        <f t="shared" ref="D22:M22" si="6">D19/(1+$C$26)^D2</f>
        <v>99646.927236657648</v>
      </c>
      <c r="E22" s="198">
        <f t="shared" si="6"/>
        <v>362848.80831345648</v>
      </c>
      <c r="F22" s="198">
        <f t="shared" si="6"/>
        <v>2108575.2644703463</v>
      </c>
      <c r="G22" s="198">
        <f t="shared" si="6"/>
        <v>1545149.1308179009</v>
      </c>
      <c r="H22" s="198">
        <f t="shared" si="6"/>
        <v>-528672.5128296148</v>
      </c>
      <c r="I22" s="198">
        <f t="shared" si="6"/>
        <v>2595442.2869925266</v>
      </c>
      <c r="J22" s="198">
        <f t="shared" si="6"/>
        <v>2006248.85694827</v>
      </c>
      <c r="K22" s="198">
        <f t="shared" si="6"/>
        <v>1509603.0166190141</v>
      </c>
      <c r="L22" s="198">
        <f t="shared" si="6"/>
        <v>1180664.2271969938</v>
      </c>
      <c r="M22" s="199">
        <f t="shared" si="6"/>
        <v>1855542.7465665506</v>
      </c>
    </row>
    <row r="23" spans="1:24" ht="19.5" thickBot="1" x14ac:dyDescent="0.35">
      <c r="A23" s="170" t="s">
        <v>15</v>
      </c>
      <c r="B23" s="171"/>
      <c r="C23" s="210">
        <f>C22+D22+E22+F22+G22+H22+I22+J22+K22+L22+M22</f>
        <v>6423714.8523321012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</row>
    <row r="24" spans="1:24" ht="19.5" thickBot="1" x14ac:dyDescent="0.35">
      <c r="A24" s="172"/>
      <c r="B24" s="156"/>
      <c r="C24" s="156"/>
      <c r="D24" s="156"/>
      <c r="E24" s="156"/>
      <c r="F24" s="156"/>
      <c r="G24" s="156"/>
      <c r="H24" s="184" t="s">
        <v>136</v>
      </c>
      <c r="I24" s="174" t="s">
        <v>134</v>
      </c>
      <c r="J24" s="156"/>
      <c r="K24" s="156"/>
      <c r="L24" s="156"/>
      <c r="M24" s="156"/>
    </row>
    <row r="25" spans="1:24" ht="18.75" x14ac:dyDescent="0.3">
      <c r="A25" s="182" t="s">
        <v>131</v>
      </c>
      <c r="B25" s="173"/>
      <c r="C25" s="227">
        <f>NPV(C26,D19:M19)+C19</f>
        <v>6423714.8523321003</v>
      </c>
      <c r="D25" s="156"/>
      <c r="E25" s="156"/>
      <c r="F25" s="156"/>
      <c r="G25" s="183"/>
      <c r="H25" s="185" t="s">
        <v>132</v>
      </c>
      <c r="I25" s="186">
        <v>16</v>
      </c>
      <c r="J25" s="156"/>
      <c r="K25" s="156"/>
      <c r="L25" s="156"/>
      <c r="M25" s="156"/>
    </row>
    <row r="26" spans="1:24" ht="19.5" thickBot="1" x14ac:dyDescent="0.35">
      <c r="A26" s="175" t="s">
        <v>16</v>
      </c>
      <c r="B26" s="176"/>
      <c r="C26" s="177">
        <v>0.31</v>
      </c>
      <c r="D26" s="156"/>
      <c r="E26" s="156"/>
      <c r="F26" s="156"/>
      <c r="G26" s="156"/>
      <c r="H26" s="187" t="s">
        <v>133</v>
      </c>
      <c r="I26" s="315">
        <f>4.95*3.63636363</f>
        <v>17.999999968499999</v>
      </c>
      <c r="J26" s="156"/>
      <c r="K26" s="156"/>
      <c r="L26" s="156"/>
      <c r="M26" s="156"/>
    </row>
    <row r="27" spans="1:24" ht="19.5" thickBot="1" x14ac:dyDescent="0.35">
      <c r="A27" s="178" t="s">
        <v>17</v>
      </c>
      <c r="B27" s="179"/>
      <c r="C27" s="180">
        <f>IRR(C19:M19,C26)</f>
        <v>0.47146915578185444</v>
      </c>
      <c r="D27" s="156"/>
      <c r="E27" s="156"/>
      <c r="F27" s="156"/>
      <c r="G27" s="156"/>
      <c r="H27" s="156"/>
      <c r="I27" s="156"/>
      <c r="J27" s="156"/>
      <c r="K27" s="156"/>
      <c r="L27" s="156"/>
      <c r="M27" s="156"/>
    </row>
    <row r="31" spans="1:24" ht="15.75" thickBot="1" x14ac:dyDescent="0.3"/>
    <row r="32" spans="1:24" ht="15.75" thickBot="1" x14ac:dyDescent="0.3">
      <c r="C32" s="283" t="s">
        <v>149</v>
      </c>
      <c r="D32" s="283" t="s">
        <v>150</v>
      </c>
      <c r="E32" s="283" t="s">
        <v>151</v>
      </c>
      <c r="G32" s="288" t="s">
        <v>152</v>
      </c>
      <c r="H32" s="289" t="s">
        <v>153</v>
      </c>
      <c r="I32" s="289" t="s">
        <v>150</v>
      </c>
      <c r="J32" s="290" t="s">
        <v>151</v>
      </c>
    </row>
    <row r="33" spans="3:13" x14ac:dyDescent="0.25">
      <c r="C33" s="21">
        <v>4.0999999999999996</v>
      </c>
      <c r="D33" s="45">
        <v>-12601883</v>
      </c>
      <c r="E33" s="21">
        <v>0</v>
      </c>
      <c r="G33" s="291">
        <v>-0.2</v>
      </c>
      <c r="H33" s="6">
        <v>15.34</v>
      </c>
      <c r="I33" s="285">
        <v>15770125</v>
      </c>
      <c r="J33" s="7">
        <v>69</v>
      </c>
      <c r="L33" s="297">
        <v>4.0999999999999996</v>
      </c>
      <c r="M33" s="301">
        <v>0</v>
      </c>
    </row>
    <row r="34" spans="3:13" x14ac:dyDescent="0.25">
      <c r="C34" s="21">
        <v>4.1500000000000004</v>
      </c>
      <c r="D34" s="45">
        <v>-11482730</v>
      </c>
      <c r="E34" s="21">
        <v>0</v>
      </c>
      <c r="G34" s="291">
        <v>-0.1</v>
      </c>
      <c r="H34" s="6">
        <v>17.260000000000002</v>
      </c>
      <c r="I34" s="285">
        <v>11096920</v>
      </c>
      <c r="J34" s="7">
        <v>58</v>
      </c>
      <c r="L34" s="5">
        <v>4.1500000000000004</v>
      </c>
      <c r="M34" s="302">
        <v>0</v>
      </c>
    </row>
    <row r="35" spans="3:13" x14ac:dyDescent="0.25">
      <c r="C35" s="21">
        <v>4.2</v>
      </c>
      <c r="D35" s="45">
        <v>-9600484.0640766285</v>
      </c>
      <c r="E35" s="21">
        <v>0</v>
      </c>
      <c r="G35" s="291">
        <v>-0.05</v>
      </c>
      <c r="H35" s="6">
        <v>18.22</v>
      </c>
      <c r="I35" s="285">
        <v>8760317</v>
      </c>
      <c r="J35" s="7">
        <v>53</v>
      </c>
      <c r="L35" s="5">
        <v>4.2</v>
      </c>
      <c r="M35" s="302">
        <v>0</v>
      </c>
    </row>
    <row r="36" spans="3:13" x14ac:dyDescent="0.25">
      <c r="C36" s="21">
        <v>4.21</v>
      </c>
      <c r="D36" s="45">
        <v>-10139747</v>
      </c>
      <c r="E36" s="21">
        <v>0</v>
      </c>
      <c r="G36" s="292">
        <v>0</v>
      </c>
      <c r="H36" s="286">
        <v>19.18</v>
      </c>
      <c r="I36" s="287">
        <v>6423715</v>
      </c>
      <c r="J36" s="293">
        <v>47</v>
      </c>
      <c r="L36" s="5">
        <v>4.21</v>
      </c>
      <c r="M36" s="302">
        <v>0</v>
      </c>
    </row>
    <row r="37" spans="3:13" x14ac:dyDescent="0.25">
      <c r="C37" s="21">
        <v>4.25</v>
      </c>
      <c r="D37" s="45">
        <v>-9244425</v>
      </c>
      <c r="E37" s="21">
        <v>4</v>
      </c>
      <c r="G37" s="291">
        <v>0.05</v>
      </c>
      <c r="H37" s="6">
        <v>20.14</v>
      </c>
      <c r="I37" s="285">
        <v>4087112</v>
      </c>
      <c r="J37" s="7">
        <v>41</v>
      </c>
      <c r="L37" s="5">
        <v>4.25</v>
      </c>
      <c r="M37" s="302">
        <v>4</v>
      </c>
    </row>
    <row r="38" spans="3:13" x14ac:dyDescent="0.25">
      <c r="C38" s="21">
        <v>4.3</v>
      </c>
      <c r="D38" s="45">
        <v>-8125272</v>
      </c>
      <c r="E38" s="21">
        <v>7</v>
      </c>
      <c r="G38" s="291">
        <v>0.1</v>
      </c>
      <c r="H38" s="6">
        <v>21.1</v>
      </c>
      <c r="I38" s="285">
        <v>1750510</v>
      </c>
      <c r="J38" s="7">
        <v>35</v>
      </c>
      <c r="L38" s="5">
        <v>4.3</v>
      </c>
      <c r="M38" s="302">
        <v>7</v>
      </c>
    </row>
    <row r="39" spans="3:13" x14ac:dyDescent="0.25">
      <c r="C39" s="21">
        <v>4.4000000000000004</v>
      </c>
      <c r="D39" s="45">
        <v>-5886966</v>
      </c>
      <c r="E39" s="21">
        <v>14</v>
      </c>
      <c r="G39" s="291">
        <v>0.13</v>
      </c>
      <c r="H39" s="6">
        <v>21.67</v>
      </c>
      <c r="I39" s="285">
        <v>348548</v>
      </c>
      <c r="J39" s="7">
        <v>32</v>
      </c>
      <c r="L39" s="5">
        <v>4.4000000000000004</v>
      </c>
      <c r="M39" s="302">
        <v>14</v>
      </c>
    </row>
    <row r="40" spans="3:13" x14ac:dyDescent="0.25">
      <c r="C40" s="21">
        <v>4.5</v>
      </c>
      <c r="D40" s="45">
        <v>-3648661</v>
      </c>
      <c r="E40" s="21">
        <v>21</v>
      </c>
      <c r="G40" s="291">
        <v>0.14000000000000001</v>
      </c>
      <c r="H40" s="6">
        <v>21.86</v>
      </c>
      <c r="I40" s="285">
        <v>-118772</v>
      </c>
      <c r="J40" s="7">
        <v>31</v>
      </c>
      <c r="L40" s="5">
        <v>4.5</v>
      </c>
      <c r="M40" s="302">
        <v>21</v>
      </c>
    </row>
    <row r="41" spans="3:13" x14ac:dyDescent="0.25">
      <c r="C41" s="21">
        <v>4.5999999999999996</v>
      </c>
      <c r="D41" s="45">
        <v>-1410355</v>
      </c>
      <c r="E41" s="21">
        <v>27</v>
      </c>
      <c r="G41" s="291">
        <v>0.2</v>
      </c>
      <c r="H41" s="6">
        <v>23.01</v>
      </c>
      <c r="I41" s="285">
        <v>-2922695</v>
      </c>
      <c r="J41" s="7">
        <v>23</v>
      </c>
      <c r="L41" s="5">
        <v>4.5999999999999996</v>
      </c>
      <c r="M41" s="302">
        <v>27</v>
      </c>
    </row>
    <row r="42" spans="3:13" x14ac:dyDescent="0.25">
      <c r="C42" s="21">
        <v>4.7</v>
      </c>
      <c r="D42" s="45">
        <v>827951</v>
      </c>
      <c r="E42" s="21">
        <v>33</v>
      </c>
      <c r="G42" s="291">
        <v>0.25</v>
      </c>
      <c r="H42" s="6">
        <v>23.97</v>
      </c>
      <c r="I42" s="285">
        <v>-5259298</v>
      </c>
      <c r="J42" s="7">
        <v>17</v>
      </c>
      <c r="L42" s="5">
        <v>4.7</v>
      </c>
      <c r="M42" s="302">
        <v>33</v>
      </c>
    </row>
    <row r="43" spans="3:13" x14ac:dyDescent="0.25">
      <c r="C43" s="21">
        <v>4.8</v>
      </c>
      <c r="D43" s="45">
        <v>3066256</v>
      </c>
      <c r="E43" s="21">
        <v>39</v>
      </c>
      <c r="G43" s="291">
        <v>0.3</v>
      </c>
      <c r="H43" s="6">
        <v>24.93</v>
      </c>
      <c r="I43" s="285">
        <v>-7595900</v>
      </c>
      <c r="J43" s="7">
        <v>10</v>
      </c>
      <c r="L43" s="5">
        <v>4.8</v>
      </c>
      <c r="M43" s="302">
        <v>39</v>
      </c>
    </row>
    <row r="44" spans="3:13" ht="15.75" thickBot="1" x14ac:dyDescent="0.3">
      <c r="C44" s="21">
        <v>4.9000000000000004</v>
      </c>
      <c r="D44" s="45">
        <v>5304562</v>
      </c>
      <c r="E44" s="21">
        <v>44</v>
      </c>
      <c r="G44" s="294">
        <v>0.4</v>
      </c>
      <c r="H44" s="295">
        <v>26.85</v>
      </c>
      <c r="I44" s="267">
        <v>-12269105</v>
      </c>
      <c r="J44" s="296">
        <v>0</v>
      </c>
      <c r="L44" s="5">
        <v>4.9000000000000004</v>
      </c>
      <c r="M44" s="302">
        <v>44</v>
      </c>
    </row>
    <row r="45" spans="3:13" x14ac:dyDescent="0.25">
      <c r="C45" s="283">
        <v>4.95</v>
      </c>
      <c r="D45" s="284">
        <v>6423715</v>
      </c>
      <c r="E45" s="283">
        <v>47</v>
      </c>
      <c r="L45" s="5">
        <v>4.95</v>
      </c>
      <c r="M45" s="302">
        <v>47</v>
      </c>
    </row>
    <row r="46" spans="3:13" x14ac:dyDescent="0.25">
      <c r="C46" s="21">
        <v>5</v>
      </c>
      <c r="D46" s="45">
        <v>7542868</v>
      </c>
      <c r="E46" s="21">
        <v>50</v>
      </c>
      <c r="L46" s="5">
        <v>5</v>
      </c>
      <c r="M46" s="302">
        <v>50</v>
      </c>
    </row>
    <row r="47" spans="3:13" ht="15.75" thickBot="1" x14ac:dyDescent="0.3">
      <c r="C47" s="21">
        <v>5.0999999999999996</v>
      </c>
      <c r="D47" s="45">
        <v>9781173</v>
      </c>
      <c r="E47" s="21">
        <v>55</v>
      </c>
      <c r="L47" s="5">
        <v>5.0999999999999996</v>
      </c>
      <c r="M47" s="302">
        <v>55</v>
      </c>
    </row>
    <row r="48" spans="3:13" x14ac:dyDescent="0.25">
      <c r="C48" s="21">
        <v>5.2</v>
      </c>
      <c r="D48" s="45">
        <v>12019479</v>
      </c>
      <c r="E48" s="21">
        <v>60</v>
      </c>
      <c r="G48" s="297">
        <v>69</v>
      </c>
      <c r="H48" s="298">
        <v>-0.2</v>
      </c>
      <c r="L48" s="5">
        <v>5.2</v>
      </c>
      <c r="M48" s="302">
        <v>60</v>
      </c>
    </row>
    <row r="49" spans="3:13" x14ac:dyDescent="0.25">
      <c r="C49" s="21">
        <v>5.3</v>
      </c>
      <c r="D49" s="45">
        <v>14257785</v>
      </c>
      <c r="E49" s="21">
        <v>65</v>
      </c>
      <c r="G49" s="5">
        <v>58</v>
      </c>
      <c r="H49" s="299">
        <v>-0.1</v>
      </c>
      <c r="L49" s="5">
        <v>5.3</v>
      </c>
      <c r="M49" s="302">
        <v>65</v>
      </c>
    </row>
    <row r="50" spans="3:13" x14ac:dyDescent="0.25">
      <c r="C50" s="21">
        <v>5.4</v>
      </c>
      <c r="D50" s="45">
        <v>16496090</v>
      </c>
      <c r="E50" s="21">
        <v>70</v>
      </c>
      <c r="G50" s="5">
        <v>53</v>
      </c>
      <c r="H50" s="299">
        <v>-0.05</v>
      </c>
      <c r="L50" s="5">
        <v>5.4</v>
      </c>
      <c r="M50" s="302">
        <v>70</v>
      </c>
    </row>
    <row r="51" spans="3:13" x14ac:dyDescent="0.25">
      <c r="C51" s="21">
        <v>5.5</v>
      </c>
      <c r="D51" s="45">
        <v>18734396</v>
      </c>
      <c r="E51" s="21">
        <v>75</v>
      </c>
      <c r="G51" s="5">
        <v>47</v>
      </c>
      <c r="H51" s="304">
        <v>0</v>
      </c>
      <c r="L51" s="5">
        <v>5.5</v>
      </c>
      <c r="M51" s="302">
        <v>75</v>
      </c>
    </row>
    <row r="52" spans="3:13" x14ac:dyDescent="0.25">
      <c r="C52" s="21">
        <v>5.6</v>
      </c>
      <c r="D52" s="45">
        <v>20972702</v>
      </c>
      <c r="E52" s="21">
        <v>79</v>
      </c>
      <c r="G52" s="5">
        <v>41</v>
      </c>
      <c r="H52" s="299">
        <v>0.05</v>
      </c>
      <c r="L52" s="5">
        <v>5.6</v>
      </c>
      <c r="M52" s="302">
        <v>79</v>
      </c>
    </row>
    <row r="53" spans="3:13" x14ac:dyDescent="0.25">
      <c r="C53" s="21">
        <v>5.7</v>
      </c>
      <c r="D53" s="45">
        <v>23211007</v>
      </c>
      <c r="E53" s="21">
        <v>84</v>
      </c>
      <c r="G53" s="5">
        <v>35</v>
      </c>
      <c r="H53" s="299">
        <v>0.1</v>
      </c>
      <c r="L53" s="5">
        <v>5.7</v>
      </c>
      <c r="M53" s="302">
        <v>84</v>
      </c>
    </row>
    <row r="54" spans="3:13" x14ac:dyDescent="0.25">
      <c r="C54" s="21">
        <v>5.8</v>
      </c>
      <c r="D54" s="45">
        <v>25449313</v>
      </c>
      <c r="E54" s="21">
        <v>89</v>
      </c>
      <c r="G54" s="5">
        <v>23</v>
      </c>
      <c r="H54" s="299">
        <v>0.2</v>
      </c>
      <c r="L54" s="5">
        <v>5.8</v>
      </c>
      <c r="M54" s="302">
        <v>89</v>
      </c>
    </row>
    <row r="55" spans="3:13" x14ac:dyDescent="0.25">
      <c r="C55" s="21">
        <v>5.9</v>
      </c>
      <c r="D55" s="45">
        <v>27687619</v>
      </c>
      <c r="E55" s="21">
        <v>93</v>
      </c>
      <c r="G55" s="5">
        <v>17</v>
      </c>
      <c r="H55" s="299">
        <v>0.25</v>
      </c>
      <c r="L55" s="5">
        <v>5.9</v>
      </c>
      <c r="M55" s="302">
        <v>93</v>
      </c>
    </row>
    <row r="56" spans="3:13" ht="15.75" thickBot="1" x14ac:dyDescent="0.3">
      <c r="C56" s="21">
        <v>6</v>
      </c>
      <c r="D56" s="45">
        <v>29925924</v>
      </c>
      <c r="E56" s="21">
        <v>98</v>
      </c>
      <c r="G56" s="5">
        <v>16</v>
      </c>
      <c r="H56" s="299">
        <v>0.26</v>
      </c>
      <c r="L56" s="35">
        <v>6</v>
      </c>
      <c r="M56" s="303">
        <v>98</v>
      </c>
    </row>
    <row r="57" spans="3:13" x14ac:dyDescent="0.25">
      <c r="G57" s="5">
        <v>14</v>
      </c>
      <c r="H57" s="299">
        <v>0.27</v>
      </c>
    </row>
    <row r="58" spans="3:13" x14ac:dyDescent="0.25">
      <c r="G58" s="5">
        <v>10</v>
      </c>
      <c r="H58" s="299">
        <v>0.3</v>
      </c>
    </row>
    <row r="59" spans="3:13" ht="15.75" thickBot="1" x14ac:dyDescent="0.3">
      <c r="G59" s="35">
        <v>0</v>
      </c>
      <c r="H59" s="300">
        <v>0.4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"/>
  <sheetViews>
    <sheetView workbookViewId="0">
      <selection activeCell="A24" sqref="A24:XFD24"/>
    </sheetView>
  </sheetViews>
  <sheetFormatPr baseColWidth="10" defaultRowHeight="15" x14ac:dyDescent="0.25"/>
  <cols>
    <col min="1" max="1" width="18.140625" bestFit="1" customWidth="1"/>
    <col min="2" max="6" width="8" bestFit="1" customWidth="1"/>
    <col min="7" max="7" width="10.140625" bestFit="1" customWidth="1"/>
    <col min="8" max="11" width="6" bestFit="1" customWidth="1"/>
    <col min="12" max="13" width="7" bestFit="1" customWidth="1"/>
    <col min="14" max="14" width="8" bestFit="1" customWidth="1"/>
    <col min="15" max="15" width="61.42578125" bestFit="1" customWidth="1"/>
  </cols>
  <sheetData>
    <row r="1" spans="1:18" ht="15.75" thickBot="1" x14ac:dyDescent="0.3">
      <c r="A1" s="134"/>
      <c r="B1" s="3"/>
      <c r="C1" s="242"/>
      <c r="D1" s="242"/>
      <c r="E1" s="242"/>
      <c r="F1" s="242"/>
      <c r="G1" s="242" t="s">
        <v>139</v>
      </c>
      <c r="H1" s="242"/>
      <c r="I1" s="242"/>
      <c r="J1" s="242"/>
      <c r="K1" s="242"/>
      <c r="L1" s="242"/>
      <c r="M1" s="242"/>
      <c r="N1" s="243"/>
      <c r="O1" t="s">
        <v>23</v>
      </c>
      <c r="P1" s="4"/>
      <c r="Q1" s="4"/>
      <c r="R1" s="4"/>
    </row>
    <row r="2" spans="1:18" ht="15.75" thickBot="1" x14ac:dyDescent="0.3">
      <c r="A2" s="134"/>
      <c r="B2" s="244">
        <v>1</v>
      </c>
      <c r="C2" s="245">
        <v>2</v>
      </c>
      <c r="D2" s="245">
        <v>3</v>
      </c>
      <c r="E2" s="245">
        <v>4</v>
      </c>
      <c r="F2" s="245">
        <v>5</v>
      </c>
      <c r="G2" s="245">
        <v>6</v>
      </c>
      <c r="H2" s="245">
        <v>7</v>
      </c>
      <c r="I2" s="245">
        <v>8</v>
      </c>
      <c r="J2" s="245">
        <v>9</v>
      </c>
      <c r="K2" s="245">
        <v>10</v>
      </c>
      <c r="L2" s="245">
        <v>11</v>
      </c>
      <c r="M2" s="245">
        <v>12</v>
      </c>
      <c r="N2" s="246" t="s">
        <v>22</v>
      </c>
      <c r="O2" t="s">
        <v>31</v>
      </c>
      <c r="P2" s="4"/>
      <c r="Q2" s="4"/>
      <c r="R2" s="4"/>
    </row>
    <row r="3" spans="1:18" x14ac:dyDescent="0.25">
      <c r="A3" s="247" t="s">
        <v>24</v>
      </c>
      <c r="B3" s="248">
        <v>130</v>
      </c>
      <c r="C3" s="249">
        <v>130</v>
      </c>
      <c r="D3" s="249">
        <v>130</v>
      </c>
      <c r="E3" s="249">
        <v>160</v>
      </c>
      <c r="F3" s="249">
        <v>160</v>
      </c>
      <c r="G3" s="249">
        <v>160</v>
      </c>
      <c r="H3" s="249">
        <v>160</v>
      </c>
      <c r="I3" s="249">
        <v>160</v>
      </c>
      <c r="J3" s="249">
        <v>160</v>
      </c>
      <c r="K3" s="249">
        <v>160</v>
      </c>
      <c r="L3" s="249">
        <v>160</v>
      </c>
      <c r="M3" s="249">
        <v>80</v>
      </c>
      <c r="N3" s="250">
        <f>SUM(B3:M3)</f>
        <v>1750</v>
      </c>
      <c r="P3" s="4"/>
      <c r="Q3" s="4"/>
      <c r="R3" s="4"/>
    </row>
    <row r="4" spans="1:18" x14ac:dyDescent="0.25">
      <c r="A4" s="251" t="s">
        <v>18</v>
      </c>
      <c r="B4" s="252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>
        <v>14</v>
      </c>
      <c r="N4" s="254">
        <f>SUM(M4)</f>
        <v>14</v>
      </c>
      <c r="P4" s="4"/>
      <c r="Q4" s="4"/>
      <c r="R4" s="4"/>
    </row>
    <row r="5" spans="1:18" x14ac:dyDescent="0.25">
      <c r="A5" s="251" t="s">
        <v>19</v>
      </c>
      <c r="B5" s="252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4"/>
      <c r="P5" s="4"/>
      <c r="Q5" s="4"/>
      <c r="R5" s="4"/>
    </row>
    <row r="6" spans="1:18" ht="15.75" thickBot="1" x14ac:dyDescent="0.3">
      <c r="A6" s="255" t="s">
        <v>21</v>
      </c>
      <c r="B6" s="256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8"/>
      <c r="P6" s="4"/>
      <c r="Q6" s="4"/>
      <c r="R6" s="4"/>
    </row>
    <row r="7" spans="1:18" ht="15.75" thickBot="1" x14ac:dyDescent="0.3">
      <c r="A7" s="1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P7" s="4"/>
      <c r="Q7" s="4"/>
      <c r="R7" s="4"/>
    </row>
    <row r="8" spans="1:18" ht="15.75" thickBot="1" x14ac:dyDescent="0.3">
      <c r="A8" s="134"/>
      <c r="B8" s="3"/>
      <c r="C8" s="242"/>
      <c r="D8" s="242"/>
      <c r="E8" s="242"/>
      <c r="F8" s="242"/>
      <c r="G8" s="242" t="s">
        <v>140</v>
      </c>
      <c r="H8" s="242"/>
      <c r="I8" s="242"/>
      <c r="J8" s="242"/>
      <c r="K8" s="242"/>
      <c r="L8" s="242"/>
      <c r="M8" s="242"/>
      <c r="N8" s="243"/>
      <c r="P8" s="4"/>
      <c r="Q8" s="4"/>
      <c r="R8" s="4"/>
    </row>
    <row r="9" spans="1:18" ht="15.75" thickBot="1" x14ac:dyDescent="0.3">
      <c r="A9" s="134"/>
      <c r="B9" s="244">
        <v>1</v>
      </c>
      <c r="C9" s="245">
        <v>2</v>
      </c>
      <c r="D9" s="245">
        <v>3</v>
      </c>
      <c r="E9" s="245">
        <v>4</v>
      </c>
      <c r="F9" s="245">
        <v>5</v>
      </c>
      <c r="G9" s="245">
        <v>6</v>
      </c>
      <c r="H9" s="245">
        <v>7</v>
      </c>
      <c r="I9" s="245">
        <v>8</v>
      </c>
      <c r="J9" s="245">
        <v>9</v>
      </c>
      <c r="K9" s="245">
        <v>10</v>
      </c>
      <c r="L9" s="245">
        <v>11</v>
      </c>
      <c r="M9" s="245">
        <v>12</v>
      </c>
      <c r="N9" s="246" t="s">
        <v>22</v>
      </c>
      <c r="O9" t="s">
        <v>23</v>
      </c>
      <c r="P9" s="4"/>
      <c r="Q9" s="4"/>
      <c r="R9" s="4"/>
    </row>
    <row r="10" spans="1:18" x14ac:dyDescent="0.25">
      <c r="A10" s="247" t="s">
        <v>24</v>
      </c>
      <c r="B10" s="248">
        <v>160</v>
      </c>
      <c r="C10" s="249">
        <v>160</v>
      </c>
      <c r="D10" s="249">
        <v>160</v>
      </c>
      <c r="E10" s="249">
        <v>160</v>
      </c>
      <c r="F10" s="249">
        <v>160</v>
      </c>
      <c r="G10" s="249">
        <v>160</v>
      </c>
      <c r="H10" s="249">
        <v>160</v>
      </c>
      <c r="I10" s="249">
        <v>160</v>
      </c>
      <c r="J10" s="249">
        <v>160</v>
      </c>
      <c r="K10" s="249">
        <v>160</v>
      </c>
      <c r="L10" s="249">
        <v>160</v>
      </c>
      <c r="M10" s="249">
        <v>80</v>
      </c>
      <c r="N10" s="250">
        <f>SUM(B10:M10)</f>
        <v>1840</v>
      </c>
      <c r="O10" t="s">
        <v>31</v>
      </c>
      <c r="P10" s="4"/>
      <c r="Q10" s="4"/>
      <c r="R10" s="4"/>
    </row>
    <row r="11" spans="1:18" x14ac:dyDescent="0.25">
      <c r="A11" s="251" t="s">
        <v>18</v>
      </c>
      <c r="B11" s="252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>
        <v>14</v>
      </c>
      <c r="N11" s="254">
        <f>SUM(M11)</f>
        <v>14</v>
      </c>
      <c r="P11" s="4"/>
      <c r="Q11" s="4"/>
      <c r="R11" s="4"/>
    </row>
    <row r="12" spans="1:18" x14ac:dyDescent="0.25">
      <c r="A12" s="251" t="s">
        <v>19</v>
      </c>
      <c r="B12" s="252"/>
      <c r="C12" s="253"/>
      <c r="D12" s="253"/>
      <c r="E12" s="253"/>
      <c r="F12" s="253"/>
      <c r="G12" s="253"/>
      <c r="H12" s="259">
        <v>89000</v>
      </c>
      <c r="I12" s="259">
        <v>89000</v>
      </c>
      <c r="J12" s="259">
        <v>89000</v>
      </c>
      <c r="K12" s="259">
        <v>89000</v>
      </c>
      <c r="L12" s="259">
        <v>89000</v>
      </c>
      <c r="M12" s="259">
        <v>148300</v>
      </c>
      <c r="N12" s="260">
        <f>SUM(G12:M12)</f>
        <v>593300</v>
      </c>
      <c r="O12" t="s">
        <v>26</v>
      </c>
      <c r="P12" s="4"/>
      <c r="Q12" s="4"/>
      <c r="R12" s="4"/>
    </row>
    <row r="13" spans="1:18" ht="15.75" thickBot="1" x14ac:dyDescent="0.3">
      <c r="A13" s="255" t="s">
        <v>21</v>
      </c>
      <c r="B13" s="256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8"/>
      <c r="P13" s="4"/>
      <c r="Q13" s="4"/>
      <c r="R13" s="4"/>
    </row>
    <row r="14" spans="1:18" ht="15.75" thickBot="1" x14ac:dyDescent="0.3">
      <c r="A14" s="13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P14" s="4"/>
      <c r="Q14" s="4"/>
      <c r="R14" s="4"/>
    </row>
    <row r="15" spans="1:18" ht="15.75" thickBot="1" x14ac:dyDescent="0.3">
      <c r="A15" s="134"/>
      <c r="B15" s="3"/>
      <c r="C15" s="242"/>
      <c r="D15" s="242"/>
      <c r="E15" s="242"/>
      <c r="F15" s="242"/>
      <c r="G15" s="242" t="s">
        <v>141</v>
      </c>
      <c r="H15" s="242"/>
      <c r="I15" s="242"/>
      <c r="J15" s="242"/>
      <c r="K15" s="242"/>
      <c r="L15" s="242"/>
      <c r="M15" s="242"/>
      <c r="N15" s="243"/>
      <c r="P15" s="4"/>
      <c r="Q15" s="4"/>
      <c r="R15" s="4"/>
    </row>
    <row r="16" spans="1:18" ht="15.75" thickBot="1" x14ac:dyDescent="0.3">
      <c r="A16" s="134"/>
      <c r="B16" s="244">
        <v>1</v>
      </c>
      <c r="C16" s="245">
        <v>2</v>
      </c>
      <c r="D16" s="245">
        <v>3</v>
      </c>
      <c r="E16" s="245">
        <v>4</v>
      </c>
      <c r="F16" s="245">
        <v>5</v>
      </c>
      <c r="G16" s="245">
        <v>6</v>
      </c>
      <c r="H16" s="245">
        <v>7</v>
      </c>
      <c r="I16" s="245">
        <v>8</v>
      </c>
      <c r="J16" s="245">
        <v>9</v>
      </c>
      <c r="K16" s="245">
        <v>10</v>
      </c>
      <c r="L16" s="245">
        <v>11</v>
      </c>
      <c r="M16" s="245">
        <v>12</v>
      </c>
      <c r="N16" s="246" t="s">
        <v>22</v>
      </c>
      <c r="O16" t="s">
        <v>23</v>
      </c>
      <c r="P16" s="4"/>
      <c r="Q16" s="4"/>
      <c r="R16" s="4"/>
    </row>
    <row r="17" spans="1:18" x14ac:dyDescent="0.25">
      <c r="A17" s="247" t="s">
        <v>24</v>
      </c>
      <c r="B17" s="248">
        <v>320</v>
      </c>
      <c r="C17" s="249">
        <v>320</v>
      </c>
      <c r="D17" s="249">
        <v>320</v>
      </c>
      <c r="E17" s="249">
        <v>320</v>
      </c>
      <c r="F17" s="249">
        <v>320</v>
      </c>
      <c r="G17" s="249">
        <v>320</v>
      </c>
      <c r="H17" s="249">
        <v>320</v>
      </c>
      <c r="I17" s="249">
        <v>320</v>
      </c>
      <c r="J17" s="249">
        <v>320</v>
      </c>
      <c r="K17" s="249">
        <v>320</v>
      </c>
      <c r="L17" s="249">
        <v>320</v>
      </c>
      <c r="M17" s="249">
        <v>160</v>
      </c>
      <c r="N17" s="250">
        <f>SUM(B17:M17)</f>
        <v>3680</v>
      </c>
      <c r="O17" t="s">
        <v>25</v>
      </c>
      <c r="P17" s="4"/>
      <c r="Q17" s="4"/>
      <c r="R17" s="4"/>
    </row>
    <row r="18" spans="1:18" x14ac:dyDescent="0.25">
      <c r="A18" s="251" t="s">
        <v>18</v>
      </c>
      <c r="B18" s="252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>
        <v>14</v>
      </c>
      <c r="N18" s="254">
        <f>SUM(M18)</f>
        <v>14</v>
      </c>
      <c r="P18" s="4"/>
      <c r="Q18" s="4"/>
      <c r="R18" s="4"/>
    </row>
    <row r="19" spans="1:18" x14ac:dyDescent="0.25">
      <c r="A19" s="251" t="s">
        <v>19</v>
      </c>
      <c r="B19" s="252"/>
      <c r="C19" s="253"/>
      <c r="D19" s="253"/>
      <c r="E19" s="253"/>
      <c r="F19" s="253"/>
      <c r="G19" s="253"/>
      <c r="H19" s="253"/>
      <c r="I19" s="253"/>
      <c r="J19" s="253"/>
      <c r="K19" s="253"/>
      <c r="L19" s="259">
        <v>100000</v>
      </c>
      <c r="M19" s="259">
        <v>100000</v>
      </c>
      <c r="N19" s="260">
        <f>SUM(L19:M19)</f>
        <v>200000</v>
      </c>
      <c r="O19" t="s">
        <v>20</v>
      </c>
      <c r="P19" s="4"/>
      <c r="Q19" s="4"/>
      <c r="R19" s="4"/>
    </row>
    <row r="20" spans="1:18" ht="15.75" thickBot="1" x14ac:dyDescent="0.3">
      <c r="A20" s="255" t="s">
        <v>21</v>
      </c>
      <c r="B20" s="256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8"/>
      <c r="P20" s="4"/>
      <c r="Q20" s="4"/>
      <c r="R20" s="4"/>
    </row>
    <row r="21" spans="1:18" ht="15.75" thickBot="1" x14ac:dyDescent="0.3">
      <c r="A21" s="13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P21" s="4"/>
      <c r="Q21" s="4"/>
      <c r="R21" s="4"/>
    </row>
    <row r="22" spans="1:18" ht="15.75" thickBot="1" x14ac:dyDescent="0.3">
      <c r="A22" s="134"/>
      <c r="B22" s="3"/>
      <c r="C22" s="242"/>
      <c r="D22" s="242"/>
      <c r="E22" s="242"/>
      <c r="F22" s="242"/>
      <c r="G22" s="242" t="s">
        <v>142</v>
      </c>
      <c r="H22" s="242"/>
      <c r="I22" s="242"/>
      <c r="J22" s="242"/>
      <c r="K22" s="242"/>
      <c r="L22" s="242"/>
      <c r="M22" s="242"/>
      <c r="N22" s="243"/>
      <c r="P22" s="4"/>
      <c r="Q22" s="4"/>
      <c r="R22" s="4"/>
    </row>
    <row r="23" spans="1:18" ht="15.75" thickBot="1" x14ac:dyDescent="0.3">
      <c r="A23" s="134"/>
      <c r="B23" s="244">
        <v>1</v>
      </c>
      <c r="C23" s="245">
        <v>2</v>
      </c>
      <c r="D23" s="245">
        <v>3</v>
      </c>
      <c r="E23" s="245">
        <v>4</v>
      </c>
      <c r="F23" s="245">
        <v>5</v>
      </c>
      <c r="G23" s="245">
        <v>6</v>
      </c>
      <c r="H23" s="245">
        <v>7</v>
      </c>
      <c r="I23" s="245">
        <v>8</v>
      </c>
      <c r="J23" s="245">
        <v>9</v>
      </c>
      <c r="K23" s="245">
        <v>10</v>
      </c>
      <c r="L23" s="245">
        <v>11</v>
      </c>
      <c r="M23" s="245">
        <v>12</v>
      </c>
      <c r="N23" s="246" t="s">
        <v>22</v>
      </c>
      <c r="O23" t="s">
        <v>23</v>
      </c>
      <c r="P23" s="4"/>
      <c r="Q23" s="4"/>
      <c r="R23" s="4"/>
    </row>
    <row r="24" spans="1:18" x14ac:dyDescent="0.25">
      <c r="A24" s="247" t="s">
        <v>24</v>
      </c>
      <c r="B24" s="248">
        <v>320</v>
      </c>
      <c r="C24" s="249">
        <v>320</v>
      </c>
      <c r="D24" s="249">
        <v>320</v>
      </c>
      <c r="E24" s="249">
        <v>320</v>
      </c>
      <c r="F24" s="249">
        <v>320</v>
      </c>
      <c r="G24" s="249">
        <v>320</v>
      </c>
      <c r="H24" s="249">
        <v>320</v>
      </c>
      <c r="I24" s="249">
        <v>320</v>
      </c>
      <c r="J24" s="249">
        <v>320</v>
      </c>
      <c r="K24" s="249">
        <v>320</v>
      </c>
      <c r="L24" s="249">
        <v>320</v>
      </c>
      <c r="M24" s="249">
        <v>160</v>
      </c>
      <c r="N24" s="250">
        <f>SUM(B24:M24)</f>
        <v>3680</v>
      </c>
      <c r="O24" t="s">
        <v>25</v>
      </c>
      <c r="P24" s="4"/>
      <c r="Q24" s="4"/>
      <c r="R24" s="4"/>
    </row>
    <row r="25" spans="1:18" x14ac:dyDescent="0.25">
      <c r="A25" s="251" t="s">
        <v>18</v>
      </c>
      <c r="B25" s="252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>
        <v>14</v>
      </c>
      <c r="N25" s="254">
        <f>SUM(M25)</f>
        <v>14</v>
      </c>
      <c r="P25" s="4"/>
      <c r="Q25" s="4"/>
      <c r="R25" s="4"/>
    </row>
    <row r="26" spans="1:18" x14ac:dyDescent="0.25">
      <c r="A26" s="251" t="s">
        <v>19</v>
      </c>
      <c r="B26" s="252"/>
      <c r="C26" s="253"/>
      <c r="D26" s="253"/>
      <c r="E26" s="253"/>
      <c r="F26" s="253"/>
      <c r="G26" s="253"/>
      <c r="H26" s="259">
        <v>89000</v>
      </c>
      <c r="I26" s="259">
        <v>89000</v>
      </c>
      <c r="J26" s="259">
        <v>89000</v>
      </c>
      <c r="K26" s="259">
        <v>89000</v>
      </c>
      <c r="L26" s="259">
        <v>89000</v>
      </c>
      <c r="M26" s="259">
        <v>148300</v>
      </c>
      <c r="N26" s="260">
        <f>SUM(G26:M26)</f>
        <v>593300</v>
      </c>
      <c r="O26" t="s">
        <v>26</v>
      </c>
      <c r="P26" s="4"/>
      <c r="Q26" s="4"/>
      <c r="R26" s="4"/>
    </row>
    <row r="27" spans="1:18" ht="15.75" thickBot="1" x14ac:dyDescent="0.3">
      <c r="A27" s="255" t="s">
        <v>21</v>
      </c>
      <c r="B27" s="256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8"/>
      <c r="P27" s="4"/>
      <c r="Q27" s="4"/>
      <c r="R27" s="4"/>
    </row>
    <row r="28" spans="1:18" ht="15.75" thickBot="1" x14ac:dyDescent="0.3">
      <c r="A28" s="13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P28" s="4"/>
      <c r="Q28" s="4"/>
      <c r="R28" s="4"/>
    </row>
    <row r="29" spans="1:18" ht="15.75" thickBot="1" x14ac:dyDescent="0.3">
      <c r="A29" s="134"/>
      <c r="B29" s="3"/>
      <c r="C29" s="242"/>
      <c r="D29" s="242"/>
      <c r="E29" s="242"/>
      <c r="F29" s="242"/>
      <c r="G29" s="242" t="s">
        <v>143</v>
      </c>
      <c r="H29" s="242"/>
      <c r="I29" s="242"/>
      <c r="J29" s="242"/>
      <c r="K29" s="242"/>
      <c r="L29" s="242"/>
      <c r="M29" s="242"/>
      <c r="N29" s="243"/>
      <c r="P29" s="4"/>
      <c r="Q29" s="4"/>
      <c r="R29" s="4"/>
    </row>
    <row r="30" spans="1:18" ht="15.75" thickBot="1" x14ac:dyDescent="0.3">
      <c r="A30" s="134"/>
      <c r="B30" s="244">
        <v>1</v>
      </c>
      <c r="C30" s="245">
        <v>2</v>
      </c>
      <c r="D30" s="245">
        <v>3</v>
      </c>
      <c r="E30" s="245">
        <v>4</v>
      </c>
      <c r="F30" s="245">
        <v>5</v>
      </c>
      <c r="G30" s="245">
        <v>6</v>
      </c>
      <c r="H30" s="245">
        <v>7</v>
      </c>
      <c r="I30" s="245">
        <v>8</v>
      </c>
      <c r="J30" s="245">
        <v>9</v>
      </c>
      <c r="K30" s="245">
        <v>10</v>
      </c>
      <c r="L30" s="245">
        <v>11</v>
      </c>
      <c r="M30" s="245">
        <v>12</v>
      </c>
      <c r="N30" s="246" t="s">
        <v>22</v>
      </c>
      <c r="O30" t="s">
        <v>23</v>
      </c>
      <c r="P30" s="4"/>
      <c r="Q30" s="4"/>
      <c r="R30" s="4"/>
    </row>
    <row r="31" spans="1:18" x14ac:dyDescent="0.25">
      <c r="A31" s="247" t="s">
        <v>24</v>
      </c>
      <c r="B31" s="248">
        <v>320</v>
      </c>
      <c r="C31" s="249">
        <v>320</v>
      </c>
      <c r="D31" s="249">
        <v>320</v>
      </c>
      <c r="E31" s="249">
        <v>320</v>
      </c>
      <c r="F31" s="249">
        <v>320</v>
      </c>
      <c r="G31" s="249">
        <v>320</v>
      </c>
      <c r="H31" s="249">
        <v>640</v>
      </c>
      <c r="I31" s="249">
        <v>640</v>
      </c>
      <c r="J31" s="249">
        <v>640</v>
      </c>
      <c r="K31" s="249">
        <v>640</v>
      </c>
      <c r="L31" s="249">
        <v>640</v>
      </c>
      <c r="M31" s="249">
        <v>320</v>
      </c>
      <c r="N31" s="250">
        <f>SUM(B31:M31)</f>
        <v>5440</v>
      </c>
      <c r="O31" t="s">
        <v>25</v>
      </c>
      <c r="P31" s="4"/>
      <c r="Q31" s="4"/>
      <c r="R31" s="4"/>
    </row>
    <row r="32" spans="1:18" x14ac:dyDescent="0.25">
      <c r="A32" s="251" t="s">
        <v>18</v>
      </c>
      <c r="B32" s="252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>
        <v>21</v>
      </c>
      <c r="N32" s="254">
        <f>SUM(M32)</f>
        <v>21</v>
      </c>
      <c r="O32" t="s">
        <v>137</v>
      </c>
      <c r="P32" s="4"/>
      <c r="Q32" s="4"/>
      <c r="R32" s="4"/>
    </row>
    <row r="33" spans="1:18" x14ac:dyDescent="0.25">
      <c r="A33" s="251" t="s">
        <v>19</v>
      </c>
      <c r="B33" s="261">
        <f>(35000)*1.18</f>
        <v>41300</v>
      </c>
      <c r="C33" s="261">
        <f t="shared" ref="C33:L33" si="0">(35000)*1.18</f>
        <v>41300</v>
      </c>
      <c r="D33" s="261">
        <f t="shared" si="0"/>
        <v>41300</v>
      </c>
      <c r="E33" s="261">
        <f t="shared" si="0"/>
        <v>41300</v>
      </c>
      <c r="F33" s="261">
        <f t="shared" si="0"/>
        <v>41300</v>
      </c>
      <c r="G33" s="261">
        <f t="shared" si="0"/>
        <v>41300</v>
      </c>
      <c r="H33" s="261">
        <f t="shared" si="0"/>
        <v>41300</v>
      </c>
      <c r="I33" s="261">
        <f t="shared" si="0"/>
        <v>41300</v>
      </c>
      <c r="J33" s="261">
        <f t="shared" si="0"/>
        <v>41300</v>
      </c>
      <c r="K33" s="261">
        <f t="shared" si="0"/>
        <v>41300</v>
      </c>
      <c r="L33" s="261">
        <f t="shared" si="0"/>
        <v>41300</v>
      </c>
      <c r="M33" s="261">
        <f>(115000)*1.18</f>
        <v>135700</v>
      </c>
      <c r="N33" s="260">
        <f>SUM(B33:M33)</f>
        <v>590000</v>
      </c>
      <c r="O33" t="s">
        <v>138</v>
      </c>
      <c r="P33" s="4"/>
      <c r="Q33" s="4"/>
      <c r="R33" s="4"/>
    </row>
    <row r="34" spans="1:18" ht="15.75" thickBot="1" x14ac:dyDescent="0.3">
      <c r="A34" s="255" t="s">
        <v>21</v>
      </c>
      <c r="B34" s="262">
        <f>1339781*1.18</f>
        <v>1580941.5799999998</v>
      </c>
      <c r="C34" s="263">
        <f>1200000*1.18</f>
        <v>1416000</v>
      </c>
      <c r="D34" s="263">
        <f>1200000*1.18</f>
        <v>1416000</v>
      </c>
      <c r="E34" s="263">
        <f>1200000*1.18</f>
        <v>1416000</v>
      </c>
      <c r="F34" s="263">
        <f>1200000*1.18</f>
        <v>1416000</v>
      </c>
      <c r="G34" s="263">
        <f>1200000*1.18</f>
        <v>1416000</v>
      </c>
      <c r="H34" s="257"/>
      <c r="I34" s="257"/>
      <c r="J34" s="257"/>
      <c r="K34" s="257"/>
      <c r="L34" s="257"/>
      <c r="M34" s="257"/>
      <c r="N34" s="264">
        <f>SUM(B34:M34)</f>
        <v>8660941.5800000001</v>
      </c>
      <c r="O34" t="s">
        <v>27</v>
      </c>
      <c r="P34" s="4"/>
      <c r="Q34" s="4"/>
      <c r="R34" s="4"/>
    </row>
    <row r="35" spans="1:18" ht="15.75" thickBot="1" x14ac:dyDescent="0.3">
      <c r="A35" s="13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P35" s="4"/>
      <c r="Q35" s="4"/>
      <c r="R35" s="4"/>
    </row>
    <row r="36" spans="1:18" ht="15.75" thickBot="1" x14ac:dyDescent="0.3">
      <c r="A36" s="134"/>
      <c r="B36" s="3"/>
      <c r="C36" s="242"/>
      <c r="D36" s="242"/>
      <c r="E36" s="242"/>
      <c r="F36" s="242"/>
      <c r="G36" s="242" t="s">
        <v>144</v>
      </c>
      <c r="H36" s="242"/>
      <c r="I36" s="242"/>
      <c r="J36" s="242"/>
      <c r="K36" s="242"/>
      <c r="L36" s="242"/>
      <c r="M36" s="242"/>
      <c r="N36" s="243"/>
      <c r="P36" s="4"/>
      <c r="Q36" s="4"/>
      <c r="R36" s="4"/>
    </row>
    <row r="37" spans="1:18" ht="15.75" thickBot="1" x14ac:dyDescent="0.3">
      <c r="A37" s="134"/>
      <c r="B37" s="244">
        <v>1</v>
      </c>
      <c r="C37" s="245">
        <v>2</v>
      </c>
      <c r="D37" s="245">
        <v>3</v>
      </c>
      <c r="E37" s="245">
        <v>4</v>
      </c>
      <c r="F37" s="245">
        <v>5</v>
      </c>
      <c r="G37" s="245">
        <v>6</v>
      </c>
      <c r="H37" s="245">
        <v>7</v>
      </c>
      <c r="I37" s="245">
        <v>8</v>
      </c>
      <c r="J37" s="245">
        <v>9</v>
      </c>
      <c r="K37" s="245">
        <v>10</v>
      </c>
      <c r="L37" s="245">
        <v>11</v>
      </c>
      <c r="M37" s="245">
        <v>12</v>
      </c>
      <c r="N37" s="246" t="s">
        <v>22</v>
      </c>
      <c r="O37" t="s">
        <v>23</v>
      </c>
      <c r="P37" s="4"/>
      <c r="Q37" s="4"/>
      <c r="R37" s="4"/>
    </row>
    <row r="38" spans="1:18" x14ac:dyDescent="0.25">
      <c r="A38" s="247" t="s">
        <v>24</v>
      </c>
      <c r="B38" s="248">
        <v>640</v>
      </c>
      <c r="C38" s="249">
        <v>640</v>
      </c>
      <c r="D38" s="249">
        <v>640</v>
      </c>
      <c r="E38" s="249">
        <v>640</v>
      </c>
      <c r="F38" s="249">
        <v>640</v>
      </c>
      <c r="G38" s="249">
        <v>640</v>
      </c>
      <c r="H38" s="249">
        <v>640</v>
      </c>
      <c r="I38" s="249">
        <v>640</v>
      </c>
      <c r="J38" s="249">
        <v>640</v>
      </c>
      <c r="K38" s="249">
        <v>640</v>
      </c>
      <c r="L38" s="249">
        <v>640</v>
      </c>
      <c r="M38" s="249">
        <v>320</v>
      </c>
      <c r="N38" s="250">
        <f>SUM(B38:M38)</f>
        <v>7360</v>
      </c>
      <c r="O38" t="s">
        <v>25</v>
      </c>
      <c r="P38" s="4"/>
      <c r="Q38" s="4"/>
      <c r="R38" s="4"/>
    </row>
    <row r="39" spans="1:18" x14ac:dyDescent="0.25">
      <c r="A39" s="251" t="s">
        <v>18</v>
      </c>
      <c r="B39" s="252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>
        <v>21</v>
      </c>
      <c r="N39" s="254">
        <v>21</v>
      </c>
      <c r="P39" s="4"/>
      <c r="Q39" s="4"/>
      <c r="R39" s="4"/>
    </row>
    <row r="40" spans="1:18" x14ac:dyDescent="0.25">
      <c r="A40" s="251" t="s">
        <v>19</v>
      </c>
      <c r="B40" s="252"/>
      <c r="C40" s="253"/>
      <c r="D40" s="253"/>
      <c r="E40" s="253"/>
      <c r="F40" s="253"/>
      <c r="G40" s="253"/>
      <c r="H40" s="259">
        <v>89000</v>
      </c>
      <c r="I40" s="259">
        <v>89000</v>
      </c>
      <c r="J40" s="259">
        <v>89000</v>
      </c>
      <c r="K40" s="259">
        <v>89000</v>
      </c>
      <c r="L40" s="259">
        <v>89000</v>
      </c>
      <c r="M40" s="259">
        <v>148300</v>
      </c>
      <c r="N40" s="260">
        <f>SUM(H40:M40)</f>
        <v>593300</v>
      </c>
      <c r="O40" t="s">
        <v>26</v>
      </c>
      <c r="P40" s="4"/>
      <c r="Q40" s="4"/>
      <c r="R40" s="4"/>
    </row>
    <row r="41" spans="1:18" ht="15.75" thickBot="1" x14ac:dyDescent="0.3">
      <c r="A41" s="255" t="s">
        <v>21</v>
      </c>
      <c r="B41" s="256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8"/>
      <c r="P41" s="4"/>
      <c r="Q41" s="4"/>
      <c r="R41" s="4"/>
    </row>
    <row r="42" spans="1:18" ht="15.75" thickBot="1" x14ac:dyDescent="0.3">
      <c r="A42" s="13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P42" s="4"/>
      <c r="Q42" s="4"/>
      <c r="R42" s="4"/>
    </row>
    <row r="43" spans="1:18" ht="15.75" thickBot="1" x14ac:dyDescent="0.3">
      <c r="A43" s="134"/>
      <c r="B43" s="3"/>
      <c r="C43" s="242"/>
      <c r="D43" s="242"/>
      <c r="E43" s="242"/>
      <c r="F43" s="242"/>
      <c r="G43" s="242" t="s">
        <v>145</v>
      </c>
      <c r="H43" s="242"/>
      <c r="I43" s="242"/>
      <c r="J43" s="242"/>
      <c r="K43" s="242"/>
      <c r="L43" s="242"/>
      <c r="M43" s="242"/>
      <c r="N43" s="243"/>
      <c r="P43" s="4"/>
      <c r="Q43" s="4"/>
      <c r="R43" s="4"/>
    </row>
    <row r="44" spans="1:18" ht="15.75" thickBot="1" x14ac:dyDescent="0.3">
      <c r="A44" s="134"/>
      <c r="B44" s="244">
        <v>1</v>
      </c>
      <c r="C44" s="245">
        <v>2</v>
      </c>
      <c r="D44" s="245">
        <v>3</v>
      </c>
      <c r="E44" s="245">
        <v>4</v>
      </c>
      <c r="F44" s="245">
        <v>5</v>
      </c>
      <c r="G44" s="245">
        <v>6</v>
      </c>
      <c r="H44" s="245">
        <v>7</v>
      </c>
      <c r="I44" s="245">
        <v>8</v>
      </c>
      <c r="J44" s="245">
        <v>9</v>
      </c>
      <c r="K44" s="245">
        <v>10</v>
      </c>
      <c r="L44" s="245">
        <v>11</v>
      </c>
      <c r="M44" s="245">
        <v>12</v>
      </c>
      <c r="N44" s="246" t="s">
        <v>22</v>
      </c>
      <c r="O44" t="s">
        <v>23</v>
      </c>
      <c r="P44" s="4"/>
      <c r="Q44" s="4"/>
      <c r="R44" s="4"/>
    </row>
    <row r="45" spans="1:18" x14ac:dyDescent="0.25">
      <c r="A45" s="247" t="s">
        <v>24</v>
      </c>
      <c r="B45" s="248">
        <v>640</v>
      </c>
      <c r="C45" s="249">
        <v>640</v>
      </c>
      <c r="D45" s="249">
        <v>640</v>
      </c>
      <c r="E45" s="249">
        <v>640</v>
      </c>
      <c r="F45" s="249">
        <v>640</v>
      </c>
      <c r="G45" s="249">
        <v>640</v>
      </c>
      <c r="H45" s="249">
        <v>640</v>
      </c>
      <c r="I45" s="249">
        <v>640</v>
      </c>
      <c r="J45" s="249">
        <v>640</v>
      </c>
      <c r="K45" s="249">
        <v>640</v>
      </c>
      <c r="L45" s="249">
        <v>640</v>
      </c>
      <c r="M45" s="249">
        <v>320</v>
      </c>
      <c r="N45" s="250">
        <f>SUM(B45:M45)</f>
        <v>7360</v>
      </c>
      <c r="O45" t="s">
        <v>25</v>
      </c>
      <c r="P45" s="4"/>
      <c r="Q45" s="4"/>
      <c r="R45" s="4"/>
    </row>
    <row r="46" spans="1:18" x14ac:dyDescent="0.25">
      <c r="A46" s="251" t="s">
        <v>18</v>
      </c>
      <c r="B46" s="252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>
        <v>21</v>
      </c>
      <c r="N46" s="254">
        <v>21</v>
      </c>
      <c r="P46" s="4"/>
      <c r="Q46" s="4"/>
      <c r="R46" s="4"/>
    </row>
    <row r="47" spans="1:18" x14ac:dyDescent="0.25">
      <c r="A47" s="251" t="s">
        <v>19</v>
      </c>
      <c r="B47" s="252"/>
      <c r="C47" s="253"/>
      <c r="D47" s="253"/>
      <c r="E47" s="253"/>
      <c r="F47" s="253"/>
      <c r="G47" s="253"/>
      <c r="H47" s="253"/>
      <c r="I47" s="253"/>
      <c r="J47" s="253"/>
      <c r="K47" s="253"/>
      <c r="L47" s="259">
        <v>100000</v>
      </c>
      <c r="M47" s="259">
        <v>100000</v>
      </c>
      <c r="N47" s="260">
        <f>SUM(L47:M47)</f>
        <v>200000</v>
      </c>
      <c r="O47" t="s">
        <v>28</v>
      </c>
      <c r="P47" s="4"/>
      <c r="Q47" s="4"/>
      <c r="R47" s="4"/>
    </row>
    <row r="48" spans="1:18" ht="15.75" thickBot="1" x14ac:dyDescent="0.3">
      <c r="A48" s="255" t="s">
        <v>21</v>
      </c>
      <c r="B48" s="256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8"/>
      <c r="P48" s="4"/>
      <c r="Q48" s="4"/>
      <c r="R48" s="4"/>
    </row>
    <row r="49" spans="1:18" ht="15.75" thickBot="1" x14ac:dyDescent="0.3">
      <c r="A49" s="13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P49" s="4"/>
      <c r="Q49" s="4"/>
      <c r="R49" s="4"/>
    </row>
    <row r="50" spans="1:18" ht="15.75" thickBot="1" x14ac:dyDescent="0.3">
      <c r="A50" s="134"/>
      <c r="B50" s="3"/>
      <c r="C50" s="242"/>
      <c r="D50" s="242"/>
      <c r="E50" s="242"/>
      <c r="F50" s="242"/>
      <c r="G50" s="242" t="s">
        <v>146</v>
      </c>
      <c r="H50" s="242"/>
      <c r="I50" s="242"/>
      <c r="J50" s="242"/>
      <c r="K50" s="242"/>
      <c r="L50" s="242"/>
      <c r="M50" s="242"/>
      <c r="N50" s="243"/>
      <c r="P50" s="4"/>
      <c r="Q50" s="4"/>
      <c r="R50" s="4"/>
    </row>
    <row r="51" spans="1:18" ht="15.75" thickBot="1" x14ac:dyDescent="0.3">
      <c r="A51" s="134"/>
      <c r="B51" s="244">
        <v>1</v>
      </c>
      <c r="C51" s="245">
        <v>2</v>
      </c>
      <c r="D51" s="245">
        <v>3</v>
      </c>
      <c r="E51" s="245">
        <v>4</v>
      </c>
      <c r="F51" s="245">
        <v>5</v>
      </c>
      <c r="G51" s="245">
        <v>6</v>
      </c>
      <c r="H51" s="245">
        <v>7</v>
      </c>
      <c r="I51" s="245">
        <v>8</v>
      </c>
      <c r="J51" s="245">
        <v>9</v>
      </c>
      <c r="K51" s="245">
        <v>10</v>
      </c>
      <c r="L51" s="245">
        <v>11</v>
      </c>
      <c r="M51" s="245">
        <v>12</v>
      </c>
      <c r="N51" s="246" t="s">
        <v>22</v>
      </c>
      <c r="O51" t="s">
        <v>23</v>
      </c>
      <c r="P51" s="4"/>
      <c r="Q51" s="4"/>
      <c r="R51" s="4"/>
    </row>
    <row r="52" spans="1:18" x14ac:dyDescent="0.25">
      <c r="A52" s="247" t="s">
        <v>24</v>
      </c>
      <c r="B52" s="248">
        <v>640</v>
      </c>
      <c r="C52" s="249">
        <v>640</v>
      </c>
      <c r="D52" s="249">
        <v>640</v>
      </c>
      <c r="E52" s="249">
        <v>640</v>
      </c>
      <c r="F52" s="249">
        <v>640</v>
      </c>
      <c r="G52" s="249">
        <v>640</v>
      </c>
      <c r="H52" s="249">
        <v>640</v>
      </c>
      <c r="I52" s="249">
        <v>640</v>
      </c>
      <c r="J52" s="249">
        <v>640</v>
      </c>
      <c r="K52" s="249">
        <v>640</v>
      </c>
      <c r="L52" s="249">
        <v>640</v>
      </c>
      <c r="M52" s="249">
        <v>320</v>
      </c>
      <c r="N52" s="250">
        <f>SUM(B52:M52)</f>
        <v>7360</v>
      </c>
      <c r="O52" t="s">
        <v>25</v>
      </c>
      <c r="P52" s="4"/>
      <c r="Q52" s="4"/>
      <c r="R52" s="4"/>
    </row>
    <row r="53" spans="1:18" x14ac:dyDescent="0.25">
      <c r="A53" s="251" t="s">
        <v>18</v>
      </c>
      <c r="B53" s="252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>
        <v>21</v>
      </c>
      <c r="N53" s="254">
        <v>21</v>
      </c>
      <c r="P53" s="4"/>
      <c r="Q53" s="4"/>
      <c r="R53" s="4"/>
    </row>
    <row r="54" spans="1:18" x14ac:dyDescent="0.25">
      <c r="A54" s="251" t="s">
        <v>19</v>
      </c>
      <c r="B54" s="252"/>
      <c r="C54" s="253"/>
      <c r="D54" s="253"/>
      <c r="E54" s="253"/>
      <c r="F54" s="253"/>
      <c r="G54" s="253"/>
      <c r="H54" s="259">
        <v>89000</v>
      </c>
      <c r="I54" s="259">
        <v>89000</v>
      </c>
      <c r="J54" s="259">
        <v>89000</v>
      </c>
      <c r="K54" s="259">
        <v>89000</v>
      </c>
      <c r="L54" s="259">
        <v>89000</v>
      </c>
      <c r="M54" s="259">
        <v>148300</v>
      </c>
      <c r="N54" s="260">
        <f>SUM(H54:M54)</f>
        <v>593300</v>
      </c>
      <c r="O54" t="s">
        <v>26</v>
      </c>
      <c r="P54" s="4"/>
      <c r="Q54" s="4"/>
      <c r="R54" s="4"/>
    </row>
    <row r="55" spans="1:18" ht="15.75" thickBot="1" x14ac:dyDescent="0.3">
      <c r="A55" s="255" t="s">
        <v>21</v>
      </c>
      <c r="B55" s="256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8"/>
      <c r="P55" s="4"/>
      <c r="Q55" s="4"/>
      <c r="R55" s="4"/>
    </row>
    <row r="56" spans="1:18" ht="15.75" thickBot="1" x14ac:dyDescent="0.3">
      <c r="A56" s="13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P56" s="4"/>
      <c r="Q56" s="4"/>
      <c r="R56" s="4"/>
    </row>
    <row r="57" spans="1:18" ht="15.75" thickBot="1" x14ac:dyDescent="0.3">
      <c r="A57" s="134"/>
      <c r="B57" s="3"/>
      <c r="C57" s="242"/>
      <c r="D57" s="242"/>
      <c r="E57" s="242"/>
      <c r="F57" s="242"/>
      <c r="G57" s="242" t="s">
        <v>147</v>
      </c>
      <c r="H57" s="242"/>
      <c r="I57" s="242"/>
      <c r="J57" s="242"/>
      <c r="K57" s="242"/>
      <c r="L57" s="242"/>
      <c r="M57" s="242"/>
      <c r="N57" s="243"/>
      <c r="P57" s="4"/>
      <c r="Q57" s="4"/>
      <c r="R57" s="4"/>
    </row>
    <row r="58" spans="1:18" ht="15.75" thickBot="1" x14ac:dyDescent="0.3">
      <c r="A58" s="134"/>
      <c r="B58" s="244">
        <v>1</v>
      </c>
      <c r="C58" s="245">
        <v>2</v>
      </c>
      <c r="D58" s="245">
        <v>3</v>
      </c>
      <c r="E58" s="245">
        <v>4</v>
      </c>
      <c r="F58" s="245">
        <v>5</v>
      </c>
      <c r="G58" s="245">
        <v>6</v>
      </c>
      <c r="H58" s="245">
        <v>7</v>
      </c>
      <c r="I58" s="245">
        <v>8</v>
      </c>
      <c r="J58" s="245">
        <v>9</v>
      </c>
      <c r="K58" s="245">
        <v>10</v>
      </c>
      <c r="L58" s="245">
        <v>11</v>
      </c>
      <c r="M58" s="245">
        <v>12</v>
      </c>
      <c r="N58" s="246" t="s">
        <v>22</v>
      </c>
      <c r="O58" t="s">
        <v>23</v>
      </c>
      <c r="P58" s="4"/>
      <c r="Q58" s="4"/>
      <c r="R58" s="4"/>
    </row>
    <row r="59" spans="1:18" x14ac:dyDescent="0.25">
      <c r="A59" s="247" t="s">
        <v>24</v>
      </c>
      <c r="B59" s="248">
        <v>640</v>
      </c>
      <c r="C59" s="249">
        <v>640</v>
      </c>
      <c r="D59" s="249">
        <v>640</v>
      </c>
      <c r="E59" s="249">
        <v>640</v>
      </c>
      <c r="F59" s="249">
        <v>640</v>
      </c>
      <c r="G59" s="249">
        <v>640</v>
      </c>
      <c r="H59" s="249">
        <v>640</v>
      </c>
      <c r="I59" s="249">
        <v>640</v>
      </c>
      <c r="J59" s="249">
        <v>640</v>
      </c>
      <c r="K59" s="249">
        <v>640</v>
      </c>
      <c r="L59" s="249">
        <v>640</v>
      </c>
      <c r="M59" s="249">
        <v>320</v>
      </c>
      <c r="N59" s="250">
        <f>SUM(B59:M59)</f>
        <v>7360</v>
      </c>
      <c r="O59" t="s">
        <v>25</v>
      </c>
      <c r="P59" s="4"/>
      <c r="Q59" s="4"/>
      <c r="R59" s="4"/>
    </row>
    <row r="60" spans="1:18" x14ac:dyDescent="0.25">
      <c r="A60" s="251" t="s">
        <v>18</v>
      </c>
      <c r="B60" s="252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>
        <v>21</v>
      </c>
      <c r="N60" s="254">
        <v>21</v>
      </c>
      <c r="P60" s="4"/>
      <c r="Q60" s="4"/>
      <c r="R60" s="4"/>
    </row>
    <row r="61" spans="1:18" x14ac:dyDescent="0.25">
      <c r="A61" s="251" t="s">
        <v>19</v>
      </c>
      <c r="B61" s="252"/>
      <c r="C61" s="253"/>
      <c r="D61" s="253"/>
      <c r="E61" s="253"/>
      <c r="F61" s="253"/>
      <c r="G61" s="253"/>
      <c r="H61" s="253"/>
      <c r="I61" s="253"/>
      <c r="J61" s="253"/>
      <c r="K61" s="253"/>
      <c r="L61" s="259">
        <v>100000</v>
      </c>
      <c r="M61" s="259">
        <v>100000</v>
      </c>
      <c r="N61" s="260">
        <f>SUM(L61:M61)</f>
        <v>200000</v>
      </c>
      <c r="O61" t="s">
        <v>28</v>
      </c>
      <c r="P61" s="4"/>
      <c r="Q61" s="4"/>
      <c r="R61" s="4"/>
    </row>
    <row r="62" spans="1:18" ht="15.75" thickBot="1" x14ac:dyDescent="0.3">
      <c r="A62" s="255" t="s">
        <v>21</v>
      </c>
      <c r="B62" s="256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8"/>
      <c r="P62" s="4"/>
      <c r="Q62" s="4"/>
      <c r="R62" s="4"/>
    </row>
    <row r="63" spans="1:18" ht="15.75" thickBot="1" x14ac:dyDescent="0.3">
      <c r="A63" s="13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P63" s="4"/>
      <c r="Q63" s="4"/>
      <c r="R63" s="4"/>
    </row>
    <row r="64" spans="1:18" ht="15.75" thickBot="1" x14ac:dyDescent="0.3">
      <c r="A64" s="134"/>
      <c r="B64" s="3"/>
      <c r="C64" s="242"/>
      <c r="D64" s="242"/>
      <c r="E64" s="242"/>
      <c r="F64" s="242"/>
      <c r="G64" s="242" t="s">
        <v>148</v>
      </c>
      <c r="H64" s="242"/>
      <c r="I64" s="242"/>
      <c r="J64" s="242"/>
      <c r="K64" s="242"/>
      <c r="L64" s="242"/>
      <c r="M64" s="242"/>
      <c r="N64" s="243"/>
      <c r="P64" s="4"/>
      <c r="Q64" s="4"/>
      <c r="R64" s="4"/>
    </row>
    <row r="65" spans="1:18" ht="15.75" thickBot="1" x14ac:dyDescent="0.3">
      <c r="A65" s="134"/>
      <c r="B65" s="244">
        <v>1</v>
      </c>
      <c r="C65" s="245">
        <v>2</v>
      </c>
      <c r="D65" s="245">
        <v>3</v>
      </c>
      <c r="E65" s="245">
        <v>4</v>
      </c>
      <c r="F65" s="245">
        <v>5</v>
      </c>
      <c r="G65" s="245">
        <v>6</v>
      </c>
      <c r="H65" s="245">
        <v>7</v>
      </c>
      <c r="I65" s="245">
        <v>8</v>
      </c>
      <c r="J65" s="245">
        <v>9</v>
      </c>
      <c r="K65" s="245">
        <v>10</v>
      </c>
      <c r="L65" s="245">
        <v>11</v>
      </c>
      <c r="M65" s="245">
        <v>12</v>
      </c>
      <c r="N65" s="246" t="s">
        <v>22</v>
      </c>
      <c r="O65" t="s">
        <v>23</v>
      </c>
      <c r="P65" s="4"/>
      <c r="Q65" s="4"/>
      <c r="R65" s="4"/>
    </row>
    <row r="66" spans="1:18" x14ac:dyDescent="0.25">
      <c r="A66" s="247" t="s">
        <v>24</v>
      </c>
      <c r="B66" s="248">
        <v>640</v>
      </c>
      <c r="C66" s="249">
        <v>640</v>
      </c>
      <c r="D66" s="249">
        <v>640</v>
      </c>
      <c r="E66" s="249">
        <v>640</v>
      </c>
      <c r="F66" s="249">
        <v>640</v>
      </c>
      <c r="G66" s="249">
        <v>640</v>
      </c>
      <c r="H66" s="249">
        <v>640</v>
      </c>
      <c r="I66" s="249">
        <v>640</v>
      </c>
      <c r="J66" s="249">
        <v>640</v>
      </c>
      <c r="K66" s="249">
        <v>640</v>
      </c>
      <c r="L66" s="249">
        <v>640</v>
      </c>
      <c r="M66" s="249">
        <v>320</v>
      </c>
      <c r="N66" s="250">
        <f>SUM(B66:M66)</f>
        <v>7360</v>
      </c>
      <c r="O66" t="s">
        <v>25</v>
      </c>
      <c r="P66" s="4"/>
      <c r="Q66" s="4"/>
      <c r="R66" s="4"/>
    </row>
    <row r="67" spans="1:18" x14ac:dyDescent="0.25">
      <c r="A67" s="251" t="s">
        <v>18</v>
      </c>
      <c r="B67" s="252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>
        <v>21</v>
      </c>
      <c r="N67" s="254">
        <v>21</v>
      </c>
      <c r="O67" t="s">
        <v>29</v>
      </c>
      <c r="P67" s="4"/>
      <c r="Q67" s="4"/>
      <c r="R67" s="4"/>
    </row>
    <row r="68" spans="1:18" x14ac:dyDescent="0.25">
      <c r="A68" s="251" t="s">
        <v>19</v>
      </c>
      <c r="B68" s="261">
        <f>70000*1.18</f>
        <v>82600</v>
      </c>
      <c r="C68" s="261">
        <f t="shared" ref="C68:L68" si="1">70000*1.18</f>
        <v>82600</v>
      </c>
      <c r="D68" s="261">
        <f t="shared" si="1"/>
        <v>82600</v>
      </c>
      <c r="E68" s="261">
        <f t="shared" si="1"/>
        <v>82600</v>
      </c>
      <c r="F68" s="261">
        <f t="shared" si="1"/>
        <v>82600</v>
      </c>
      <c r="G68" s="261">
        <f t="shared" si="1"/>
        <v>82600</v>
      </c>
      <c r="H68" s="261">
        <f t="shared" si="1"/>
        <v>82600</v>
      </c>
      <c r="I68" s="261">
        <f t="shared" si="1"/>
        <v>82600</v>
      </c>
      <c r="J68" s="261">
        <f t="shared" si="1"/>
        <v>82600</v>
      </c>
      <c r="K68" s="261">
        <f t="shared" si="1"/>
        <v>82600</v>
      </c>
      <c r="L68" s="261">
        <f t="shared" si="1"/>
        <v>82600</v>
      </c>
      <c r="M68" s="259">
        <f>80000*1.18</f>
        <v>94400</v>
      </c>
      <c r="N68" s="260">
        <f>SUM(B68:M68)</f>
        <v>1003000</v>
      </c>
      <c r="O68" t="s">
        <v>30</v>
      </c>
      <c r="P68" s="4"/>
      <c r="Q68" s="4"/>
      <c r="R68" s="4"/>
    </row>
    <row r="69" spans="1:18" ht="15.75" thickBot="1" x14ac:dyDescent="0.3">
      <c r="A69" s="255" t="s">
        <v>21</v>
      </c>
      <c r="B69" s="256"/>
      <c r="C69" s="257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8"/>
      <c r="P69" s="4"/>
      <c r="Q69" s="4"/>
      <c r="R69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8"/>
  <sheetViews>
    <sheetView topLeftCell="O1" zoomScaleNormal="100" workbookViewId="0">
      <selection activeCell="Y12" sqref="Y12"/>
    </sheetView>
  </sheetViews>
  <sheetFormatPr baseColWidth="10" defaultRowHeight="15" x14ac:dyDescent="0.25"/>
  <cols>
    <col min="1" max="1" width="21.5703125" bestFit="1" customWidth="1"/>
    <col min="2" max="3" width="21.42578125" bestFit="1" customWidth="1"/>
    <col min="4" max="4" width="17" bestFit="1" customWidth="1"/>
    <col min="5" max="6" width="13.5703125" bestFit="1" customWidth="1"/>
    <col min="7" max="7" width="13.140625" bestFit="1" customWidth="1"/>
    <col min="18" max="18" width="13" bestFit="1" customWidth="1"/>
    <col min="22" max="22" width="21" bestFit="1" customWidth="1"/>
  </cols>
  <sheetData>
    <row r="1" spans="1:23" ht="15.75" thickBot="1" x14ac:dyDescent="0.3">
      <c r="A1" s="18" t="s">
        <v>62</v>
      </c>
      <c r="H1" s="29"/>
      <c r="I1" s="30"/>
      <c r="J1" s="30"/>
      <c r="K1" s="30"/>
      <c r="L1" s="30" t="s">
        <v>66</v>
      </c>
      <c r="M1" s="30"/>
      <c r="N1" s="30"/>
      <c r="O1" s="30"/>
      <c r="P1" s="30"/>
      <c r="Q1" s="31"/>
    </row>
    <row r="2" spans="1:23" ht="15.75" thickBot="1" x14ac:dyDescent="0.3">
      <c r="A2" s="26" t="s">
        <v>32</v>
      </c>
      <c r="B2" s="27" t="s">
        <v>33</v>
      </c>
      <c r="C2" s="27" t="s">
        <v>34</v>
      </c>
      <c r="D2" s="27" t="s">
        <v>35</v>
      </c>
      <c r="E2" s="27" t="s">
        <v>36</v>
      </c>
      <c r="F2" s="27" t="s">
        <v>37</v>
      </c>
      <c r="G2" s="27" t="s">
        <v>38</v>
      </c>
      <c r="H2" s="27">
        <v>1</v>
      </c>
      <c r="I2" s="27">
        <v>2</v>
      </c>
      <c r="J2" s="27">
        <v>3</v>
      </c>
      <c r="K2" s="27">
        <v>4</v>
      </c>
      <c r="L2" s="27">
        <v>5</v>
      </c>
      <c r="M2" s="27">
        <v>6</v>
      </c>
      <c r="N2" s="27">
        <v>7</v>
      </c>
      <c r="O2" s="27">
        <v>8</v>
      </c>
      <c r="P2" s="27">
        <v>9</v>
      </c>
      <c r="Q2" s="28">
        <v>10</v>
      </c>
    </row>
    <row r="3" spans="1:23" x14ac:dyDescent="0.25">
      <c r="A3" s="24">
        <f>22+22*0.5</f>
        <v>33</v>
      </c>
      <c r="B3" s="25">
        <v>1</v>
      </c>
      <c r="C3" s="25">
        <v>22</v>
      </c>
      <c r="D3" s="25">
        <f>A3*C3</f>
        <v>726</v>
      </c>
      <c r="E3" s="25">
        <f>D3*9</f>
        <v>6534</v>
      </c>
      <c r="F3" s="211">
        <f>E3*20</f>
        <v>130680</v>
      </c>
      <c r="G3" s="211">
        <f>$F3*12</f>
        <v>1568160</v>
      </c>
      <c r="H3" s="211">
        <f t="shared" ref="H3:I6" si="0">$F3*12</f>
        <v>1568160</v>
      </c>
      <c r="I3" s="211">
        <f t="shared" si="0"/>
        <v>1568160</v>
      </c>
      <c r="J3" s="211">
        <f t="shared" ref="J3:K6" si="1">$G3*2</f>
        <v>3136320</v>
      </c>
      <c r="K3" s="211">
        <f t="shared" si="1"/>
        <v>3136320</v>
      </c>
      <c r="L3" s="211">
        <f>J3*0.5+(F3*2*2*6)</f>
        <v>4704480</v>
      </c>
      <c r="M3" s="211">
        <f>$G3*4</f>
        <v>6272640</v>
      </c>
      <c r="N3" s="211">
        <f t="shared" ref="N3:Q6" si="2">$G3*4</f>
        <v>6272640</v>
      </c>
      <c r="O3" s="211">
        <f t="shared" si="2"/>
        <v>6272640</v>
      </c>
      <c r="P3" s="211">
        <f t="shared" si="2"/>
        <v>6272640</v>
      </c>
      <c r="Q3" s="212">
        <f t="shared" si="2"/>
        <v>6272640</v>
      </c>
    </row>
    <row r="4" spans="1:23" x14ac:dyDescent="0.25">
      <c r="A4" s="20">
        <f>23.91+23.91*0.5</f>
        <v>35.865000000000002</v>
      </c>
      <c r="B4" s="21">
        <v>2</v>
      </c>
      <c r="C4" s="21">
        <v>10</v>
      </c>
      <c r="D4" s="21">
        <f>A4*C4</f>
        <v>358.65000000000003</v>
      </c>
      <c r="E4" s="21">
        <f>D4*9</f>
        <v>3227.8500000000004</v>
      </c>
      <c r="F4" s="213">
        <f>E4*20</f>
        <v>64557.000000000007</v>
      </c>
      <c r="G4" s="213">
        <f>$F4*12</f>
        <v>774684.00000000012</v>
      </c>
      <c r="H4" s="213">
        <f t="shared" si="0"/>
        <v>774684.00000000012</v>
      </c>
      <c r="I4" s="213">
        <f t="shared" si="0"/>
        <v>774684.00000000012</v>
      </c>
      <c r="J4" s="213">
        <f t="shared" si="1"/>
        <v>1549368.0000000002</v>
      </c>
      <c r="K4" s="213">
        <f t="shared" si="1"/>
        <v>1549368.0000000002</v>
      </c>
      <c r="L4" s="213">
        <f>G4*0.5+(F4*2*2*6)</f>
        <v>1936710.0000000002</v>
      </c>
      <c r="M4" s="213">
        <f>$G4*4</f>
        <v>3098736.0000000005</v>
      </c>
      <c r="N4" s="213">
        <f t="shared" si="2"/>
        <v>3098736.0000000005</v>
      </c>
      <c r="O4" s="213">
        <f t="shared" si="2"/>
        <v>3098736.0000000005</v>
      </c>
      <c r="P4" s="213">
        <f t="shared" si="2"/>
        <v>3098736.0000000005</v>
      </c>
      <c r="Q4" s="214">
        <f t="shared" si="2"/>
        <v>3098736.0000000005</v>
      </c>
    </row>
    <row r="5" spans="1:23" x14ac:dyDescent="0.25">
      <c r="A5" s="20">
        <f>25.76+25.76*0.5</f>
        <v>38.64</v>
      </c>
      <c r="B5" s="21">
        <v>3</v>
      </c>
      <c r="C5" s="21">
        <v>1</v>
      </c>
      <c r="D5" s="21">
        <f>A5*C5</f>
        <v>38.64</v>
      </c>
      <c r="E5" s="21">
        <f>D5*9</f>
        <v>347.76</v>
      </c>
      <c r="F5" s="213">
        <f>E5*20</f>
        <v>6955.2</v>
      </c>
      <c r="G5" s="213">
        <f>$F5*12</f>
        <v>83462.399999999994</v>
      </c>
      <c r="H5" s="213">
        <f t="shared" si="0"/>
        <v>83462.399999999994</v>
      </c>
      <c r="I5" s="213">
        <f t="shared" si="0"/>
        <v>83462.399999999994</v>
      </c>
      <c r="J5" s="213">
        <f t="shared" si="1"/>
        <v>166924.79999999999</v>
      </c>
      <c r="K5" s="213">
        <f t="shared" si="1"/>
        <v>166924.79999999999</v>
      </c>
      <c r="L5" s="213">
        <f>G5*0.5+(F5*2*2*6)</f>
        <v>208656</v>
      </c>
      <c r="M5" s="213">
        <f>$G5*4</f>
        <v>333849.59999999998</v>
      </c>
      <c r="N5" s="213">
        <f t="shared" si="2"/>
        <v>333849.59999999998</v>
      </c>
      <c r="O5" s="213">
        <f t="shared" si="2"/>
        <v>333849.59999999998</v>
      </c>
      <c r="P5" s="213">
        <f t="shared" si="2"/>
        <v>333849.59999999998</v>
      </c>
      <c r="Q5" s="214">
        <f t="shared" si="2"/>
        <v>333849.59999999998</v>
      </c>
    </row>
    <row r="6" spans="1:23" ht="15.75" thickBot="1" x14ac:dyDescent="0.3">
      <c r="A6" s="22">
        <f>27.51+27.51*0.5</f>
        <v>41.265000000000001</v>
      </c>
      <c r="B6" s="23">
        <v>4</v>
      </c>
      <c r="C6" s="23">
        <v>2</v>
      </c>
      <c r="D6" s="23">
        <f>A6*C6</f>
        <v>82.53</v>
      </c>
      <c r="E6" s="23">
        <f>D6*9</f>
        <v>742.77</v>
      </c>
      <c r="F6" s="215">
        <f>E6*20</f>
        <v>14855.4</v>
      </c>
      <c r="G6" s="215">
        <f>$F6*12</f>
        <v>178264.8</v>
      </c>
      <c r="H6" s="215">
        <f t="shared" si="0"/>
        <v>178264.8</v>
      </c>
      <c r="I6" s="215">
        <f t="shared" si="0"/>
        <v>178264.8</v>
      </c>
      <c r="J6" s="215">
        <f t="shared" si="1"/>
        <v>356529.6</v>
      </c>
      <c r="K6" s="215">
        <f t="shared" si="1"/>
        <v>356529.6</v>
      </c>
      <c r="L6" s="215">
        <f>G6*0.5+(F6*2*2*6)</f>
        <v>445662</v>
      </c>
      <c r="M6" s="215">
        <f>$G6*4</f>
        <v>713059.2</v>
      </c>
      <c r="N6" s="215">
        <f t="shared" si="2"/>
        <v>713059.2</v>
      </c>
      <c r="O6" s="215">
        <f t="shared" si="2"/>
        <v>713059.2</v>
      </c>
      <c r="P6" s="215">
        <f t="shared" si="2"/>
        <v>713059.2</v>
      </c>
      <c r="Q6" s="216">
        <f t="shared" si="2"/>
        <v>713059.2</v>
      </c>
    </row>
    <row r="7" spans="1:23" ht="15.75" thickBot="1" x14ac:dyDescent="0.3">
      <c r="A7" s="32" t="s">
        <v>22</v>
      </c>
      <c r="B7" s="33"/>
      <c r="C7" s="33">
        <f>SUM(C3:C6)</f>
        <v>35</v>
      </c>
      <c r="D7" s="33"/>
      <c r="E7" s="34">
        <f t="shared" ref="E7:Q7" si="3">SUM(E3:E6)</f>
        <v>10852.380000000001</v>
      </c>
      <c r="F7" s="217">
        <f t="shared" si="3"/>
        <v>217047.6</v>
      </c>
      <c r="G7" s="217">
        <f t="shared" si="3"/>
        <v>2604571.1999999997</v>
      </c>
      <c r="H7" s="217">
        <f t="shared" si="3"/>
        <v>2604571.1999999997</v>
      </c>
      <c r="I7" s="217">
        <f t="shared" si="3"/>
        <v>2604571.1999999997</v>
      </c>
      <c r="J7" s="217">
        <f t="shared" si="3"/>
        <v>5209142.3999999994</v>
      </c>
      <c r="K7" s="217">
        <f t="shared" si="3"/>
        <v>5209142.3999999994</v>
      </c>
      <c r="L7" s="217">
        <f t="shared" si="3"/>
        <v>7295508</v>
      </c>
      <c r="M7" s="217">
        <f t="shared" si="3"/>
        <v>10418284.799999999</v>
      </c>
      <c r="N7" s="217">
        <f t="shared" si="3"/>
        <v>10418284.799999999</v>
      </c>
      <c r="O7" s="217">
        <f t="shared" si="3"/>
        <v>10418284.799999999</v>
      </c>
      <c r="P7" s="217">
        <f t="shared" si="3"/>
        <v>10418284.799999999</v>
      </c>
      <c r="Q7" s="218">
        <f t="shared" si="3"/>
        <v>10418284.799999999</v>
      </c>
    </row>
    <row r="8" spans="1:2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3" ht="15.75" thickBot="1" x14ac:dyDescent="0.3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3" ht="15.75" thickBot="1" x14ac:dyDescent="0.3">
      <c r="D10" s="2"/>
      <c r="E10" s="2"/>
      <c r="F10" s="2"/>
      <c r="G10" s="50"/>
      <c r="H10" s="51"/>
      <c r="I10" s="51"/>
      <c r="J10" s="51"/>
      <c r="K10" s="51" t="s">
        <v>66</v>
      </c>
      <c r="L10" s="51"/>
      <c r="M10" s="51"/>
      <c r="N10" s="51"/>
      <c r="O10" s="51"/>
      <c r="P10" s="52"/>
    </row>
    <row r="11" spans="1:23" ht="15.75" thickBot="1" x14ac:dyDescent="0.3">
      <c r="D11" s="2"/>
      <c r="E11" s="2"/>
      <c r="F11" s="2"/>
      <c r="G11" s="53">
        <v>1</v>
      </c>
      <c r="H11" s="54">
        <v>2</v>
      </c>
      <c r="I11" s="54">
        <v>3</v>
      </c>
      <c r="J11" s="54">
        <v>4</v>
      </c>
      <c r="K11" s="54">
        <v>5</v>
      </c>
      <c r="L11" s="54">
        <v>6</v>
      </c>
      <c r="M11" s="54">
        <v>7</v>
      </c>
      <c r="N11" s="54">
        <v>8</v>
      </c>
      <c r="O11" s="54">
        <v>9</v>
      </c>
      <c r="P11" s="55">
        <v>10</v>
      </c>
    </row>
    <row r="12" spans="1:23" ht="15.75" thickBot="1" x14ac:dyDescent="0.3">
      <c r="A12" s="18" t="s">
        <v>63</v>
      </c>
      <c r="D12" s="2"/>
      <c r="E12" s="2"/>
      <c r="F12" s="26" t="s">
        <v>67</v>
      </c>
      <c r="G12" s="56">
        <v>1750</v>
      </c>
      <c r="H12" s="56">
        <v>1840</v>
      </c>
      <c r="I12" s="56">
        <v>3680</v>
      </c>
      <c r="J12" s="56">
        <v>3680</v>
      </c>
      <c r="K12" s="56">
        <v>5440</v>
      </c>
      <c r="L12" s="56">
        <v>7360</v>
      </c>
      <c r="M12" s="56">
        <v>7360</v>
      </c>
      <c r="N12" s="56">
        <v>7360</v>
      </c>
      <c r="O12" s="56">
        <v>7360</v>
      </c>
      <c r="P12" s="57">
        <v>7360</v>
      </c>
    </row>
    <row r="13" spans="1:23" ht="15.75" thickBot="1" x14ac:dyDescent="0.3">
      <c r="A13" s="11" t="s">
        <v>39</v>
      </c>
      <c r="B13" s="12" t="s">
        <v>40</v>
      </c>
      <c r="C13" s="12" t="s">
        <v>41</v>
      </c>
      <c r="D13" s="41" t="s">
        <v>42</v>
      </c>
      <c r="E13" s="42" t="s">
        <v>37</v>
      </c>
      <c r="F13" s="43" t="s">
        <v>68</v>
      </c>
      <c r="G13" s="48"/>
      <c r="H13" s="48"/>
      <c r="I13" s="48"/>
      <c r="J13" s="48"/>
      <c r="K13" s="48"/>
      <c r="L13" s="48"/>
      <c r="M13" s="48"/>
      <c r="N13" s="48"/>
      <c r="O13" s="48"/>
      <c r="P13" s="49"/>
      <c r="R13" s="36" t="s">
        <v>70</v>
      </c>
      <c r="S13" s="38" t="s">
        <v>69</v>
      </c>
      <c r="V13" s="6" t="s">
        <v>3</v>
      </c>
      <c r="W13" s="386">
        <f>H7+G20+E27+E38</f>
        <v>23446804.762980029</v>
      </c>
    </row>
    <row r="14" spans="1:23" x14ac:dyDescent="0.25">
      <c r="A14" s="13" t="s">
        <v>43</v>
      </c>
      <c r="B14" s="14">
        <v>106400</v>
      </c>
      <c r="C14" s="14">
        <f>19.18</f>
        <v>19.18</v>
      </c>
      <c r="D14" s="44">
        <f t="shared" ref="D14:D19" si="4">B14*C14</f>
        <v>2040752</v>
      </c>
      <c r="E14" s="20">
        <f t="shared" ref="E14:E19" si="5">D14/2</f>
        <v>1020376</v>
      </c>
      <c r="F14" s="21">
        <v>0.93</v>
      </c>
      <c r="G14" s="45">
        <f>((G12*1000*$S14)/$F14)*$C14</f>
        <v>11170287.634408602</v>
      </c>
      <c r="H14" s="45">
        <f t="shared" ref="H14:O14" si="6">((H12*1000*$S14)/$F14)*$C14</f>
        <v>11744759.569892472</v>
      </c>
      <c r="I14" s="45">
        <f t="shared" si="6"/>
        <v>23489519.139784943</v>
      </c>
      <c r="J14" s="45">
        <f t="shared" si="6"/>
        <v>23489519.139784943</v>
      </c>
      <c r="K14" s="45">
        <f t="shared" si="6"/>
        <v>34723636.989247307</v>
      </c>
      <c r="L14" s="45">
        <f t="shared" si="6"/>
        <v>46979038.279569887</v>
      </c>
      <c r="M14" s="45">
        <f t="shared" si="6"/>
        <v>46979038.279569887</v>
      </c>
      <c r="N14" s="45">
        <f t="shared" si="6"/>
        <v>46979038.279569887</v>
      </c>
      <c r="O14" s="45">
        <f t="shared" si="6"/>
        <v>46979038.279569887</v>
      </c>
      <c r="P14" s="46">
        <f>((P12*1000*$S14)/$F14)*$C14</f>
        <v>46979038.279569887</v>
      </c>
      <c r="R14" s="5" t="s">
        <v>43</v>
      </c>
      <c r="S14" s="19">
        <v>0.3095</v>
      </c>
      <c r="V14" s="6" t="s">
        <v>4</v>
      </c>
      <c r="W14" s="6">
        <v>1514500</v>
      </c>
    </row>
    <row r="15" spans="1:23" x14ac:dyDescent="0.25">
      <c r="A15" s="5" t="s">
        <v>44</v>
      </c>
      <c r="B15" s="6">
        <v>45600</v>
      </c>
      <c r="C15" s="6">
        <v>1.38</v>
      </c>
      <c r="D15" s="47">
        <f t="shared" si="4"/>
        <v>62927.999999999993</v>
      </c>
      <c r="E15" s="20">
        <f t="shared" si="5"/>
        <v>31463.999999999996</v>
      </c>
      <c r="F15" s="21">
        <v>0.98</v>
      </c>
      <c r="G15" s="45">
        <f>((G12*1000*$S15)/$F15)*$C15</f>
        <v>634553.57142857136</v>
      </c>
      <c r="H15" s="45">
        <f t="shared" ref="H15:P15" si="7">((H12*1000*$S15)/$F15)*$C15</f>
        <v>667187.75510204083</v>
      </c>
      <c r="I15" s="45">
        <f t="shared" si="7"/>
        <v>1334375.5102040817</v>
      </c>
      <c r="J15" s="45">
        <f t="shared" si="7"/>
        <v>1334375.5102040817</v>
      </c>
      <c r="K15" s="45">
        <f t="shared" si="7"/>
        <v>1972555.1020408163</v>
      </c>
      <c r="L15" s="45">
        <f t="shared" si="7"/>
        <v>2668751.0204081633</v>
      </c>
      <c r="M15" s="45">
        <f t="shared" si="7"/>
        <v>2668751.0204081633</v>
      </c>
      <c r="N15" s="45">
        <f t="shared" si="7"/>
        <v>2668751.0204081633</v>
      </c>
      <c r="O15" s="45">
        <f t="shared" si="7"/>
        <v>2668751.0204081633</v>
      </c>
      <c r="P15" s="46">
        <f t="shared" si="7"/>
        <v>2668751.0204081633</v>
      </c>
      <c r="R15" s="5" t="s">
        <v>44</v>
      </c>
      <c r="S15" s="19">
        <v>0.25750000000000001</v>
      </c>
      <c r="V15" s="6" t="s">
        <v>189</v>
      </c>
      <c r="W15" s="285">
        <v>1012906.0724999999</v>
      </c>
    </row>
    <row r="16" spans="1:23" x14ac:dyDescent="0.25">
      <c r="A16" s="5" t="s">
        <v>45</v>
      </c>
      <c r="B16" s="6">
        <v>45600</v>
      </c>
      <c r="C16" s="6">
        <v>1.65</v>
      </c>
      <c r="D16" s="47">
        <f t="shared" si="4"/>
        <v>75240</v>
      </c>
      <c r="E16" s="20">
        <f t="shared" si="5"/>
        <v>37620</v>
      </c>
      <c r="F16" s="21">
        <v>0.98</v>
      </c>
      <c r="G16" s="45">
        <f>((G12*1000*$S16)/$F16)*$C16</f>
        <v>758705.35714285716</v>
      </c>
      <c r="H16" s="45">
        <f t="shared" ref="H16:P16" si="8">((H12*1000*$S16)/$F16)*$C16</f>
        <v>797724.48979591834</v>
      </c>
      <c r="I16" s="45">
        <f t="shared" si="8"/>
        <v>1595448.9795918367</v>
      </c>
      <c r="J16" s="45">
        <f t="shared" si="8"/>
        <v>1595448.9795918367</v>
      </c>
      <c r="K16" s="45">
        <f t="shared" si="8"/>
        <v>2358489.7959183673</v>
      </c>
      <c r="L16" s="45">
        <f t="shared" si="8"/>
        <v>3190897.9591836734</v>
      </c>
      <c r="M16" s="45">
        <f t="shared" si="8"/>
        <v>3190897.9591836734</v>
      </c>
      <c r="N16" s="45">
        <f t="shared" si="8"/>
        <v>3190897.9591836734</v>
      </c>
      <c r="O16" s="45">
        <f t="shared" si="8"/>
        <v>3190897.9591836734</v>
      </c>
      <c r="P16" s="46">
        <f t="shared" si="8"/>
        <v>3190897.9591836734</v>
      </c>
      <c r="R16" s="5" t="s">
        <v>45</v>
      </c>
      <c r="S16" s="19">
        <v>0.25750000000000001</v>
      </c>
      <c r="V16" s="6" t="s">
        <v>190</v>
      </c>
      <c r="W16" s="285">
        <v>1121557.8800000001</v>
      </c>
    </row>
    <row r="17" spans="1:23" x14ac:dyDescent="0.25">
      <c r="A17" s="5" t="s">
        <v>46</v>
      </c>
      <c r="B17" s="6">
        <v>660</v>
      </c>
      <c r="C17" s="6">
        <v>23.22</v>
      </c>
      <c r="D17" s="47">
        <f t="shared" si="4"/>
        <v>15325.199999999999</v>
      </c>
      <c r="E17" s="20">
        <f t="shared" si="5"/>
        <v>7662.5999999999995</v>
      </c>
      <c r="F17" s="21">
        <v>1</v>
      </c>
      <c r="G17" s="21">
        <f>(G12*1000*$S17)*$C17</f>
        <v>81270</v>
      </c>
      <c r="H17" s="45">
        <f t="shared" ref="H17:P17" si="9">(H12*1000*$S17)*$C17</f>
        <v>85449.599999999991</v>
      </c>
      <c r="I17" s="45">
        <f t="shared" si="9"/>
        <v>170899.19999999998</v>
      </c>
      <c r="J17" s="45">
        <f t="shared" si="9"/>
        <v>170899.19999999998</v>
      </c>
      <c r="K17" s="45">
        <f t="shared" si="9"/>
        <v>252633.59999999998</v>
      </c>
      <c r="L17" s="45">
        <f t="shared" si="9"/>
        <v>341798.39999999997</v>
      </c>
      <c r="M17" s="45">
        <f t="shared" si="9"/>
        <v>341798.39999999997</v>
      </c>
      <c r="N17" s="45">
        <f t="shared" si="9"/>
        <v>341798.39999999997</v>
      </c>
      <c r="O17" s="45">
        <f t="shared" si="9"/>
        <v>341798.39999999997</v>
      </c>
      <c r="P17" s="46">
        <f t="shared" si="9"/>
        <v>341798.39999999997</v>
      </c>
      <c r="R17" s="5" t="s">
        <v>46</v>
      </c>
      <c r="S17" s="19">
        <v>2E-3</v>
      </c>
      <c r="V17" s="6" t="s">
        <v>191</v>
      </c>
      <c r="W17" s="6">
        <v>1222799.9983808999</v>
      </c>
    </row>
    <row r="18" spans="1:23" x14ac:dyDescent="0.25">
      <c r="A18" s="5" t="s">
        <v>47</v>
      </c>
      <c r="B18" s="6">
        <v>9140</v>
      </c>
      <c r="C18" s="6">
        <v>2.2799999999999998</v>
      </c>
      <c r="D18" s="47">
        <f t="shared" si="4"/>
        <v>20839.199999999997</v>
      </c>
      <c r="E18" s="20">
        <f t="shared" si="5"/>
        <v>10419.599999999999</v>
      </c>
      <c r="F18" s="21">
        <v>1</v>
      </c>
      <c r="G18" s="21">
        <f>(G12*1000*$S18)*$C18</f>
        <v>114911.99999999999</v>
      </c>
      <c r="H18" s="45">
        <f t="shared" ref="H18:P18" si="10">(H12*1000*$S18)*$C18</f>
        <v>120821.75999999999</v>
      </c>
      <c r="I18" s="45">
        <f t="shared" si="10"/>
        <v>241643.51999999999</v>
      </c>
      <c r="J18" s="45">
        <f t="shared" si="10"/>
        <v>241643.51999999999</v>
      </c>
      <c r="K18" s="45">
        <f t="shared" si="10"/>
        <v>357212.15999999997</v>
      </c>
      <c r="L18" s="45">
        <f t="shared" si="10"/>
        <v>483287.03999999998</v>
      </c>
      <c r="M18" s="45">
        <f t="shared" si="10"/>
        <v>483287.03999999998</v>
      </c>
      <c r="N18" s="45">
        <f t="shared" si="10"/>
        <v>483287.03999999998</v>
      </c>
      <c r="O18" s="45">
        <f t="shared" si="10"/>
        <v>483287.03999999998</v>
      </c>
      <c r="P18" s="46">
        <f t="shared" si="10"/>
        <v>483287.03999999998</v>
      </c>
      <c r="R18" s="5" t="s">
        <v>71</v>
      </c>
      <c r="S18" s="19">
        <v>2.8799999999999999E-2</v>
      </c>
    </row>
    <row r="19" spans="1:23" ht="15.75" thickBot="1" x14ac:dyDescent="0.3">
      <c r="A19" s="8" t="s">
        <v>48</v>
      </c>
      <c r="B19" s="9">
        <v>6600</v>
      </c>
      <c r="C19" s="9">
        <v>4.12</v>
      </c>
      <c r="D19" s="47">
        <f t="shared" si="4"/>
        <v>27192</v>
      </c>
      <c r="E19" s="58">
        <f t="shared" si="5"/>
        <v>13596</v>
      </c>
      <c r="F19" s="23">
        <v>1</v>
      </c>
      <c r="G19" s="23">
        <f>(G12*1000*$S19)*$C19</f>
        <v>191065</v>
      </c>
      <c r="H19" s="59">
        <f t="shared" ref="H19:P19" si="11">(H12*1000*$S19)*$C19</f>
        <v>200891.2</v>
      </c>
      <c r="I19" s="59">
        <f t="shared" si="11"/>
        <v>401782.4</v>
      </c>
      <c r="J19" s="59">
        <f t="shared" si="11"/>
        <v>401782.4</v>
      </c>
      <c r="K19" s="59">
        <f t="shared" si="11"/>
        <v>593939.20000000007</v>
      </c>
      <c r="L19" s="59">
        <f t="shared" si="11"/>
        <v>803564.8</v>
      </c>
      <c r="M19" s="59">
        <f t="shared" si="11"/>
        <v>803564.8</v>
      </c>
      <c r="N19" s="59">
        <f t="shared" si="11"/>
        <v>803564.8</v>
      </c>
      <c r="O19" s="59">
        <f t="shared" si="11"/>
        <v>803564.8</v>
      </c>
      <c r="P19" s="60">
        <f t="shared" si="11"/>
        <v>803564.8</v>
      </c>
      <c r="R19" s="5" t="s">
        <v>48</v>
      </c>
      <c r="S19" s="19">
        <v>2.6499999999999999E-2</v>
      </c>
    </row>
    <row r="20" spans="1:23" ht="15.75" thickBot="1" x14ac:dyDescent="0.3">
      <c r="A20" s="15" t="s">
        <v>49</v>
      </c>
      <c r="B20" s="16"/>
      <c r="C20" s="17"/>
      <c r="D20" s="3">
        <f>SUM(D14:D19)</f>
        <v>2242276.4000000004</v>
      </c>
      <c r="E20" s="39">
        <f>SUM(E14:E19)</f>
        <v>1121138.2000000002</v>
      </c>
      <c r="F20" s="40"/>
      <c r="G20" s="61">
        <f t="shared" ref="G20:P20" si="12">SUM(G14:G19)</f>
        <v>12950793.56298003</v>
      </c>
      <c r="H20" s="61">
        <f t="shared" si="12"/>
        <v>13616834.374790428</v>
      </c>
      <c r="I20" s="61">
        <f t="shared" si="12"/>
        <v>27233668.749580856</v>
      </c>
      <c r="J20" s="61">
        <f t="shared" si="12"/>
        <v>27233668.749580856</v>
      </c>
      <c r="K20" s="61">
        <f t="shared" si="12"/>
        <v>40258466.847206496</v>
      </c>
      <c r="L20" s="61">
        <f t="shared" si="12"/>
        <v>54467337.499161713</v>
      </c>
      <c r="M20" s="61">
        <f t="shared" si="12"/>
        <v>54467337.499161713</v>
      </c>
      <c r="N20" s="61">
        <f t="shared" si="12"/>
        <v>54467337.499161713</v>
      </c>
      <c r="O20" s="61">
        <f t="shared" si="12"/>
        <v>54467337.499161713</v>
      </c>
      <c r="P20" s="62">
        <f t="shared" si="12"/>
        <v>54467337.499161713</v>
      </c>
      <c r="R20" s="5" t="s">
        <v>53</v>
      </c>
      <c r="S20" s="19">
        <v>0.1182</v>
      </c>
    </row>
    <row r="21" spans="1:23" ht="15.75" thickBot="1" x14ac:dyDescent="0.3">
      <c r="R21" s="35"/>
      <c r="S21" s="37">
        <f>SUM(S14:S20)</f>
        <v>1</v>
      </c>
    </row>
    <row r="22" spans="1:23" ht="15.75" thickBot="1" x14ac:dyDescent="0.3">
      <c r="A22" s="80" t="s">
        <v>64</v>
      </c>
      <c r="B22" s="2"/>
      <c r="C22" s="2"/>
      <c r="D22" s="2"/>
      <c r="E22" s="88"/>
      <c r="F22" s="87"/>
      <c r="G22" s="87"/>
      <c r="H22" s="87"/>
      <c r="I22" s="87" t="s">
        <v>66</v>
      </c>
      <c r="J22" s="87"/>
      <c r="K22" s="87"/>
      <c r="L22" s="87"/>
      <c r="M22" s="87"/>
      <c r="N22" s="89"/>
    </row>
    <row r="23" spans="1:23" ht="15.75" thickBot="1" x14ac:dyDescent="0.3">
      <c r="A23" s="81" t="s">
        <v>50</v>
      </c>
      <c r="B23" s="82" t="s">
        <v>51</v>
      </c>
      <c r="C23" s="83" t="s">
        <v>72</v>
      </c>
      <c r="D23" s="84" t="s">
        <v>73</v>
      </c>
      <c r="E23" s="85">
        <v>1</v>
      </c>
      <c r="F23" s="83">
        <v>2</v>
      </c>
      <c r="G23" s="83">
        <v>3</v>
      </c>
      <c r="H23" s="83">
        <v>4</v>
      </c>
      <c r="I23" s="83">
        <v>5</v>
      </c>
      <c r="J23" s="83">
        <v>6</v>
      </c>
      <c r="K23" s="83">
        <v>7</v>
      </c>
      <c r="L23" s="83">
        <v>8</v>
      </c>
      <c r="M23" s="83">
        <v>9</v>
      </c>
      <c r="N23" s="86">
        <v>10</v>
      </c>
    </row>
    <row r="24" spans="1:23" x14ac:dyDescent="0.25">
      <c r="A24" s="63" t="s">
        <v>52</v>
      </c>
      <c r="B24" s="64">
        <v>64500</v>
      </c>
      <c r="C24" s="25">
        <v>0.7</v>
      </c>
      <c r="D24" s="44">
        <f>B24*C24</f>
        <v>45150</v>
      </c>
      <c r="E24" s="24">
        <f>D24*12</f>
        <v>541800</v>
      </c>
      <c r="F24" s="25">
        <f>D24*12</f>
        <v>541800</v>
      </c>
      <c r="G24" s="65">
        <f>D24*2*12</f>
        <v>1083600</v>
      </c>
      <c r="H24" s="65">
        <f>D24*2*12</f>
        <v>1083600</v>
      </c>
      <c r="I24" s="25">
        <f>(D24*2*6)+(D24*2*2*6)</f>
        <v>1625400</v>
      </c>
      <c r="J24" s="25">
        <f>$D24*4*12</f>
        <v>2167200</v>
      </c>
      <c r="K24" s="25">
        <f t="shared" ref="K24:N26" si="13">$D24*4*12</f>
        <v>2167200</v>
      </c>
      <c r="L24" s="25">
        <f t="shared" si="13"/>
        <v>2167200</v>
      </c>
      <c r="M24" s="25">
        <f t="shared" si="13"/>
        <v>2167200</v>
      </c>
      <c r="N24" s="66">
        <f t="shared" si="13"/>
        <v>2167200</v>
      </c>
    </row>
    <row r="25" spans="1:23" x14ac:dyDescent="0.25">
      <c r="A25" s="67" t="s">
        <v>53</v>
      </c>
      <c r="B25" s="68">
        <v>700</v>
      </c>
      <c r="C25" s="21">
        <v>1.5</v>
      </c>
      <c r="D25" s="47">
        <f>B25*C25</f>
        <v>1050</v>
      </c>
      <c r="E25" s="20">
        <f>D25*12</f>
        <v>12600</v>
      </c>
      <c r="F25" s="69">
        <f>D25*12</f>
        <v>12600</v>
      </c>
      <c r="G25" s="69">
        <f>D25*2*12</f>
        <v>25200</v>
      </c>
      <c r="H25" s="69">
        <f>D25*2*12</f>
        <v>25200</v>
      </c>
      <c r="I25" s="21">
        <f>(D25*2*6)+(D25*2*2*6)</f>
        <v>37800</v>
      </c>
      <c r="J25" s="21">
        <f>$D25*4*12</f>
        <v>50400</v>
      </c>
      <c r="K25" s="21">
        <f t="shared" si="13"/>
        <v>50400</v>
      </c>
      <c r="L25" s="21">
        <f t="shared" si="13"/>
        <v>50400</v>
      </c>
      <c r="M25" s="21">
        <f t="shared" si="13"/>
        <v>50400</v>
      </c>
      <c r="N25" s="19">
        <f t="shared" si="13"/>
        <v>50400</v>
      </c>
    </row>
    <row r="26" spans="1:23" ht="15.75" thickBot="1" x14ac:dyDescent="0.3">
      <c r="A26" s="70" t="s">
        <v>54</v>
      </c>
      <c r="B26" s="71">
        <v>400</v>
      </c>
      <c r="C26" s="23">
        <v>1.3</v>
      </c>
      <c r="D26" s="72">
        <f>B26*C26</f>
        <v>520</v>
      </c>
      <c r="E26" s="22">
        <f>D26*12</f>
        <v>6240</v>
      </c>
      <c r="F26" s="73">
        <f>D26*12</f>
        <v>6240</v>
      </c>
      <c r="G26" s="73">
        <f>D26*2*12</f>
        <v>12480</v>
      </c>
      <c r="H26" s="73">
        <f>D26*2*12</f>
        <v>12480</v>
      </c>
      <c r="I26" s="23">
        <f>(D26*2*6)+(D26*2*2*6)</f>
        <v>18720</v>
      </c>
      <c r="J26" s="23">
        <f>$D26*4*12</f>
        <v>24960</v>
      </c>
      <c r="K26" s="23">
        <f t="shared" si="13"/>
        <v>24960</v>
      </c>
      <c r="L26" s="23">
        <f t="shared" si="13"/>
        <v>24960</v>
      </c>
      <c r="M26" s="23">
        <f t="shared" si="13"/>
        <v>24960</v>
      </c>
      <c r="N26" s="74">
        <f t="shared" si="13"/>
        <v>24960</v>
      </c>
    </row>
    <row r="27" spans="1:23" ht="15.75" thickBot="1" x14ac:dyDescent="0.3">
      <c r="A27" s="75" t="s">
        <v>55</v>
      </c>
      <c r="B27" s="76"/>
      <c r="C27" s="77"/>
      <c r="D27" s="3">
        <f t="shared" ref="D27:N27" si="14">SUM(D24:D26)</f>
        <v>46720</v>
      </c>
      <c r="E27" s="39">
        <f t="shared" si="14"/>
        <v>560640</v>
      </c>
      <c r="F27" s="78">
        <f t="shared" si="14"/>
        <v>560640</v>
      </c>
      <c r="G27" s="78">
        <f t="shared" si="14"/>
        <v>1121280</v>
      </c>
      <c r="H27" s="78">
        <f t="shared" si="14"/>
        <v>1121280</v>
      </c>
      <c r="I27" s="78">
        <f t="shared" si="14"/>
        <v>1681920</v>
      </c>
      <c r="J27" s="78">
        <f t="shared" si="14"/>
        <v>2242560</v>
      </c>
      <c r="K27" s="78">
        <f t="shared" si="14"/>
        <v>2242560</v>
      </c>
      <c r="L27" s="78">
        <f t="shared" si="14"/>
        <v>2242560</v>
      </c>
      <c r="M27" s="78">
        <f t="shared" si="14"/>
        <v>2242560</v>
      </c>
      <c r="N27" s="79">
        <f t="shared" si="14"/>
        <v>2242560</v>
      </c>
    </row>
    <row r="29" spans="1:23" ht="15.75" thickBot="1" x14ac:dyDescent="0.3"/>
    <row r="30" spans="1:23" ht="15.75" thickBot="1" x14ac:dyDescent="0.3">
      <c r="A30" s="18" t="s">
        <v>65</v>
      </c>
      <c r="E30" s="99"/>
      <c r="F30" s="100"/>
      <c r="G30" s="100"/>
      <c r="H30" s="100"/>
      <c r="I30" s="100" t="s">
        <v>66</v>
      </c>
      <c r="J30" s="100"/>
      <c r="K30" s="100"/>
      <c r="L30" s="100"/>
      <c r="M30" s="100"/>
      <c r="N30" s="101"/>
    </row>
    <row r="31" spans="1:23" ht="15.75" thickBot="1" x14ac:dyDescent="0.3">
      <c r="A31" s="93" t="s">
        <v>39</v>
      </c>
      <c r="B31" s="94" t="s">
        <v>72</v>
      </c>
      <c r="C31" s="94" t="s">
        <v>74</v>
      </c>
      <c r="D31" s="95" t="s">
        <v>73</v>
      </c>
      <c r="E31" s="96">
        <v>1</v>
      </c>
      <c r="F31" s="97">
        <v>2</v>
      </c>
      <c r="G31" s="97">
        <v>3</v>
      </c>
      <c r="H31" s="97">
        <v>4</v>
      </c>
      <c r="I31" s="97">
        <v>5</v>
      </c>
      <c r="J31" s="97">
        <v>6</v>
      </c>
      <c r="K31" s="97">
        <v>7</v>
      </c>
      <c r="L31" s="97">
        <v>8</v>
      </c>
      <c r="M31" s="97">
        <v>9</v>
      </c>
      <c r="N31" s="98">
        <v>10</v>
      </c>
    </row>
    <row r="32" spans="1:23" x14ac:dyDescent="0.25">
      <c r="A32" s="5" t="s">
        <v>56</v>
      </c>
      <c r="B32" s="6">
        <v>0.9</v>
      </c>
      <c r="C32" s="6">
        <v>20000</v>
      </c>
      <c r="D32" s="90">
        <f t="shared" ref="D32:D37" si="15">B32*C32*20</f>
        <v>360000</v>
      </c>
      <c r="E32" s="13">
        <f t="shared" ref="E32:E37" si="16">D32*12</f>
        <v>4320000</v>
      </c>
      <c r="F32" s="14">
        <f t="shared" ref="F32:F37" si="17">D32*12</f>
        <v>4320000</v>
      </c>
      <c r="G32" s="14">
        <f t="shared" ref="G32:G37" si="18">D32*2*12</f>
        <v>8640000</v>
      </c>
      <c r="H32" s="14">
        <f t="shared" ref="H32:H37" si="19">D32*2*12</f>
        <v>8640000</v>
      </c>
      <c r="I32" s="14">
        <f t="shared" ref="I32:I37" si="20">(D32*2*6)+(D32*2*2*6)</f>
        <v>12960000</v>
      </c>
      <c r="J32" s="14">
        <f t="shared" ref="J32:J37" si="21">$D32*4*12</f>
        <v>17280000</v>
      </c>
      <c r="K32" s="14">
        <f t="shared" ref="K32:N37" si="22">$D32*4*12</f>
        <v>17280000</v>
      </c>
      <c r="L32" s="14">
        <f t="shared" si="22"/>
        <v>17280000</v>
      </c>
      <c r="M32" s="14">
        <f t="shared" si="22"/>
        <v>17280000</v>
      </c>
      <c r="N32" s="92">
        <f t="shared" si="22"/>
        <v>17280000</v>
      </c>
    </row>
    <row r="33" spans="1:14" x14ac:dyDescent="0.25">
      <c r="A33" s="5" t="s">
        <v>57</v>
      </c>
      <c r="B33" s="6">
        <v>0.45</v>
      </c>
      <c r="C33" s="6">
        <v>20000</v>
      </c>
      <c r="D33" s="90">
        <f t="shared" si="15"/>
        <v>180000</v>
      </c>
      <c r="E33" s="5">
        <f t="shared" si="16"/>
        <v>2160000</v>
      </c>
      <c r="F33" s="6">
        <f t="shared" si="17"/>
        <v>2160000</v>
      </c>
      <c r="G33" s="6">
        <f t="shared" si="18"/>
        <v>4320000</v>
      </c>
      <c r="H33" s="6">
        <f t="shared" si="19"/>
        <v>4320000</v>
      </c>
      <c r="I33" s="6">
        <f t="shared" si="20"/>
        <v>6480000</v>
      </c>
      <c r="J33" s="6">
        <f t="shared" si="21"/>
        <v>8640000</v>
      </c>
      <c r="K33" s="6">
        <f t="shared" si="22"/>
        <v>8640000</v>
      </c>
      <c r="L33" s="6">
        <f t="shared" si="22"/>
        <v>8640000</v>
      </c>
      <c r="M33" s="6">
        <f t="shared" si="22"/>
        <v>8640000</v>
      </c>
      <c r="N33" s="7">
        <f t="shared" si="22"/>
        <v>8640000</v>
      </c>
    </row>
    <row r="34" spans="1:14" x14ac:dyDescent="0.25">
      <c r="A34" s="5" t="s">
        <v>58</v>
      </c>
      <c r="B34" s="6">
        <v>2.16</v>
      </c>
      <c r="C34" s="6">
        <v>1000</v>
      </c>
      <c r="D34" s="90">
        <f t="shared" si="15"/>
        <v>43200</v>
      </c>
      <c r="E34" s="5">
        <f t="shared" si="16"/>
        <v>518400</v>
      </c>
      <c r="F34" s="6">
        <f t="shared" si="17"/>
        <v>518400</v>
      </c>
      <c r="G34" s="6">
        <f t="shared" si="18"/>
        <v>1036800</v>
      </c>
      <c r="H34" s="6">
        <f t="shared" si="19"/>
        <v>1036800</v>
      </c>
      <c r="I34" s="6">
        <f t="shared" si="20"/>
        <v>1555200</v>
      </c>
      <c r="J34" s="6">
        <f t="shared" si="21"/>
        <v>2073600</v>
      </c>
      <c r="K34" s="6">
        <f t="shared" si="22"/>
        <v>2073600</v>
      </c>
      <c r="L34" s="6">
        <f t="shared" si="22"/>
        <v>2073600</v>
      </c>
      <c r="M34" s="6">
        <f t="shared" si="22"/>
        <v>2073600</v>
      </c>
      <c r="N34" s="7">
        <f t="shared" si="22"/>
        <v>2073600</v>
      </c>
    </row>
    <row r="35" spans="1:14" x14ac:dyDescent="0.25">
      <c r="A35" s="5" t="s">
        <v>59</v>
      </c>
      <c r="B35" s="6">
        <v>70</v>
      </c>
      <c r="C35" s="6">
        <v>8</v>
      </c>
      <c r="D35" s="90">
        <f t="shared" si="15"/>
        <v>11200</v>
      </c>
      <c r="E35" s="5">
        <f t="shared" si="16"/>
        <v>134400</v>
      </c>
      <c r="F35" s="6">
        <f t="shared" si="17"/>
        <v>134400</v>
      </c>
      <c r="G35" s="6">
        <f t="shared" si="18"/>
        <v>268800</v>
      </c>
      <c r="H35" s="6">
        <f t="shared" si="19"/>
        <v>268800</v>
      </c>
      <c r="I35" s="6">
        <f t="shared" si="20"/>
        <v>403200</v>
      </c>
      <c r="J35" s="6">
        <f t="shared" si="21"/>
        <v>537600</v>
      </c>
      <c r="K35" s="6">
        <f t="shared" si="22"/>
        <v>537600</v>
      </c>
      <c r="L35" s="6">
        <f t="shared" si="22"/>
        <v>537600</v>
      </c>
      <c r="M35" s="6">
        <f t="shared" si="22"/>
        <v>537600</v>
      </c>
      <c r="N35" s="7">
        <f t="shared" si="22"/>
        <v>537600</v>
      </c>
    </row>
    <row r="36" spans="1:14" x14ac:dyDescent="0.25">
      <c r="A36" s="5" t="s">
        <v>60</v>
      </c>
      <c r="B36" s="6">
        <v>15</v>
      </c>
      <c r="C36" s="6">
        <v>35</v>
      </c>
      <c r="D36" s="90">
        <f t="shared" si="15"/>
        <v>10500</v>
      </c>
      <c r="E36" s="5">
        <f t="shared" si="16"/>
        <v>126000</v>
      </c>
      <c r="F36" s="6">
        <f t="shared" si="17"/>
        <v>126000</v>
      </c>
      <c r="G36" s="6">
        <f t="shared" si="18"/>
        <v>252000</v>
      </c>
      <c r="H36" s="6">
        <f t="shared" si="19"/>
        <v>252000</v>
      </c>
      <c r="I36" s="6">
        <f t="shared" si="20"/>
        <v>378000</v>
      </c>
      <c r="J36" s="6">
        <f t="shared" si="21"/>
        <v>504000</v>
      </c>
      <c r="K36" s="6">
        <f t="shared" si="22"/>
        <v>504000</v>
      </c>
      <c r="L36" s="6">
        <f t="shared" si="22"/>
        <v>504000</v>
      </c>
      <c r="M36" s="6">
        <f t="shared" si="22"/>
        <v>504000</v>
      </c>
      <c r="N36" s="7">
        <f t="shared" si="22"/>
        <v>504000</v>
      </c>
    </row>
    <row r="37" spans="1:14" ht="15.75" thickBot="1" x14ac:dyDescent="0.3">
      <c r="A37" s="8" t="s">
        <v>61</v>
      </c>
      <c r="B37" s="9">
        <v>12</v>
      </c>
      <c r="C37" s="9">
        <v>25</v>
      </c>
      <c r="D37" s="91">
        <f t="shared" si="15"/>
        <v>6000</v>
      </c>
      <c r="E37" s="8">
        <f t="shared" si="16"/>
        <v>72000</v>
      </c>
      <c r="F37" s="9">
        <f t="shared" si="17"/>
        <v>72000</v>
      </c>
      <c r="G37" s="9">
        <f t="shared" si="18"/>
        <v>144000</v>
      </c>
      <c r="H37" s="9">
        <f t="shared" si="19"/>
        <v>144000</v>
      </c>
      <c r="I37" s="9">
        <f t="shared" si="20"/>
        <v>216000</v>
      </c>
      <c r="J37" s="9">
        <f t="shared" si="21"/>
        <v>288000</v>
      </c>
      <c r="K37" s="9">
        <f t="shared" si="22"/>
        <v>288000</v>
      </c>
      <c r="L37" s="9">
        <f t="shared" si="22"/>
        <v>288000</v>
      </c>
      <c r="M37" s="9">
        <f t="shared" si="22"/>
        <v>288000</v>
      </c>
      <c r="N37" s="10">
        <f t="shared" si="22"/>
        <v>288000</v>
      </c>
    </row>
    <row r="38" spans="1:14" ht="15.75" thickBot="1" x14ac:dyDescent="0.3">
      <c r="A38" s="96" t="s">
        <v>55</v>
      </c>
      <c r="B38" s="97"/>
      <c r="C38" s="97"/>
      <c r="D38" s="102">
        <f t="shared" ref="D38:I38" si="23">SUM(D32:D37)</f>
        <v>610900</v>
      </c>
      <c r="E38" s="96">
        <f t="shared" si="23"/>
        <v>7330800</v>
      </c>
      <c r="F38" s="97">
        <f t="shared" si="23"/>
        <v>7330800</v>
      </c>
      <c r="G38" s="97">
        <f t="shared" si="23"/>
        <v>14661600</v>
      </c>
      <c r="H38" s="97">
        <f t="shared" si="23"/>
        <v>14661600</v>
      </c>
      <c r="I38" s="97">
        <f t="shared" si="23"/>
        <v>21992400</v>
      </c>
      <c r="J38" s="97">
        <f>SUM(J32:J37)</f>
        <v>29323200</v>
      </c>
      <c r="K38" s="97">
        <f>SUM(K32:K37)</f>
        <v>29323200</v>
      </c>
      <c r="L38" s="97">
        <f>SUM(L32:L37)</f>
        <v>29323200</v>
      </c>
      <c r="M38" s="97">
        <f>SUM(M32:M37)</f>
        <v>29323200</v>
      </c>
      <c r="N38" s="98">
        <f>SUM(N32:N37)</f>
        <v>29323200</v>
      </c>
    </row>
    <row r="42" spans="1:14" ht="15.75" thickBot="1" x14ac:dyDescent="0.3"/>
    <row r="43" spans="1:14" x14ac:dyDescent="0.25">
      <c r="A43" s="104" t="s">
        <v>75</v>
      </c>
      <c r="B43" s="105">
        <v>1</v>
      </c>
      <c r="C43" s="106">
        <v>2</v>
      </c>
      <c r="D43" s="106">
        <v>3</v>
      </c>
      <c r="E43" s="106">
        <v>4</v>
      </c>
      <c r="F43" s="106">
        <v>5</v>
      </c>
      <c r="G43" s="106">
        <v>6</v>
      </c>
      <c r="H43" s="106">
        <v>7</v>
      </c>
      <c r="I43" s="106">
        <v>8</v>
      </c>
      <c r="J43" s="106">
        <v>9</v>
      </c>
      <c r="K43" s="107">
        <v>10</v>
      </c>
    </row>
    <row r="44" spans="1:14" x14ac:dyDescent="0.25">
      <c r="A44" s="1" t="s">
        <v>62</v>
      </c>
      <c r="B44" s="221">
        <f>+H7</f>
        <v>2604571.1999999997</v>
      </c>
      <c r="C44" s="221">
        <f t="shared" ref="C44:K44" si="24">+I7</f>
        <v>2604571.1999999997</v>
      </c>
      <c r="D44" s="221">
        <f t="shared" si="24"/>
        <v>5209142.3999999994</v>
      </c>
      <c r="E44" s="221">
        <f t="shared" si="24"/>
        <v>5209142.3999999994</v>
      </c>
      <c r="F44" s="221">
        <f t="shared" si="24"/>
        <v>7295508</v>
      </c>
      <c r="G44" s="221">
        <f t="shared" si="24"/>
        <v>10418284.799999999</v>
      </c>
      <c r="H44" s="221">
        <f t="shared" si="24"/>
        <v>10418284.799999999</v>
      </c>
      <c r="I44" s="221">
        <f t="shared" si="24"/>
        <v>10418284.799999999</v>
      </c>
      <c r="J44" s="221">
        <f t="shared" si="24"/>
        <v>10418284.799999999</v>
      </c>
      <c r="K44" s="221">
        <f t="shared" si="24"/>
        <v>10418284.799999999</v>
      </c>
    </row>
    <row r="45" spans="1:14" x14ac:dyDescent="0.25">
      <c r="A45" s="103" t="s">
        <v>63</v>
      </c>
      <c r="B45" s="221">
        <f>G20</f>
        <v>12950793.56298003</v>
      </c>
      <c r="C45" s="221">
        <f t="shared" ref="C45:K45" si="25">H20</f>
        <v>13616834.374790428</v>
      </c>
      <c r="D45" s="221">
        <f t="shared" si="25"/>
        <v>27233668.749580856</v>
      </c>
      <c r="E45" s="221">
        <f t="shared" si="25"/>
        <v>27233668.749580856</v>
      </c>
      <c r="F45" s="221">
        <f t="shared" si="25"/>
        <v>40258466.847206496</v>
      </c>
      <c r="G45" s="221">
        <f t="shared" si="25"/>
        <v>54467337.499161713</v>
      </c>
      <c r="H45" s="221">
        <f t="shared" si="25"/>
        <v>54467337.499161713</v>
      </c>
      <c r="I45" s="221">
        <f t="shared" si="25"/>
        <v>54467337.499161713</v>
      </c>
      <c r="J45" s="221">
        <f t="shared" si="25"/>
        <v>54467337.499161713</v>
      </c>
      <c r="K45" s="221">
        <f t="shared" si="25"/>
        <v>54467337.499161713</v>
      </c>
    </row>
    <row r="46" spans="1:14" x14ac:dyDescent="0.25">
      <c r="A46" s="1" t="s">
        <v>76</v>
      </c>
      <c r="B46" s="221">
        <v>560640</v>
      </c>
      <c r="C46" s="222">
        <v>560640</v>
      </c>
      <c r="D46" s="222">
        <v>1121280</v>
      </c>
      <c r="E46" s="222">
        <v>1121280</v>
      </c>
      <c r="F46" s="222">
        <v>1681920</v>
      </c>
      <c r="G46" s="222">
        <v>2242560</v>
      </c>
      <c r="H46" s="222">
        <v>2242560</v>
      </c>
      <c r="I46" s="222">
        <v>2242560</v>
      </c>
      <c r="J46" s="222">
        <v>2242560</v>
      </c>
      <c r="K46" s="223">
        <v>2242560</v>
      </c>
    </row>
    <row r="47" spans="1:14" ht="15.75" thickBot="1" x14ac:dyDescent="0.3">
      <c r="A47" s="108" t="s">
        <v>77</v>
      </c>
      <c r="B47" s="224">
        <v>7330800</v>
      </c>
      <c r="C47" s="225">
        <v>7330800</v>
      </c>
      <c r="D47" s="225">
        <v>14661600</v>
      </c>
      <c r="E47" s="225">
        <v>14661600</v>
      </c>
      <c r="F47" s="225">
        <v>21992400</v>
      </c>
      <c r="G47" s="225">
        <v>29323200</v>
      </c>
      <c r="H47" s="225">
        <v>29323200</v>
      </c>
      <c r="I47" s="225">
        <v>29323200</v>
      </c>
      <c r="J47" s="225">
        <v>29323200</v>
      </c>
      <c r="K47" s="226">
        <v>29323200</v>
      </c>
    </row>
    <row r="48" spans="1:14" ht="15.75" thickBot="1" x14ac:dyDescent="0.3">
      <c r="A48" s="109" t="s">
        <v>78</v>
      </c>
      <c r="B48" s="219">
        <f t="shared" ref="B48:K48" si="26">SUM(B44:B47)</f>
        <v>23446804.762980029</v>
      </c>
      <c r="C48" s="219">
        <f t="shared" si="26"/>
        <v>24112845.574790426</v>
      </c>
      <c r="D48" s="219">
        <f t="shared" si="26"/>
        <v>48225691.149580851</v>
      </c>
      <c r="E48" s="219">
        <f t="shared" si="26"/>
        <v>48225691.149580851</v>
      </c>
      <c r="F48" s="219">
        <f t="shared" si="26"/>
        <v>71228294.847206503</v>
      </c>
      <c r="G48" s="219">
        <f t="shared" si="26"/>
        <v>96451382.299161702</v>
      </c>
      <c r="H48" s="219">
        <f t="shared" si="26"/>
        <v>96451382.299161702</v>
      </c>
      <c r="I48" s="219">
        <f t="shared" si="26"/>
        <v>96451382.299161702</v>
      </c>
      <c r="J48" s="219">
        <f t="shared" si="26"/>
        <v>96451382.299161702</v>
      </c>
      <c r="K48" s="220">
        <f t="shared" si="26"/>
        <v>96451382.299161702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"/>
  <sheetViews>
    <sheetView topLeftCell="A24" workbookViewId="0">
      <selection activeCell="H32" sqref="H32"/>
    </sheetView>
  </sheetViews>
  <sheetFormatPr baseColWidth="10" defaultRowHeight="15" x14ac:dyDescent="0.25"/>
  <cols>
    <col min="1" max="1" width="23.28515625" bestFit="1" customWidth="1"/>
    <col min="2" max="2" width="24" bestFit="1" customWidth="1"/>
  </cols>
  <sheetData>
    <row r="1" spans="1:13" ht="15.75" thickBot="1" x14ac:dyDescent="0.3">
      <c r="A1" s="18" t="s">
        <v>112</v>
      </c>
      <c r="D1" s="111"/>
      <c r="E1" s="112"/>
      <c r="F1" s="112"/>
      <c r="G1" s="112"/>
      <c r="H1" s="112" t="s">
        <v>66</v>
      </c>
      <c r="I1" s="112"/>
      <c r="J1" s="112"/>
      <c r="K1" s="112"/>
      <c r="L1" s="112"/>
      <c r="M1" s="113"/>
    </row>
    <row r="2" spans="1:13" x14ac:dyDescent="0.25">
      <c r="A2" s="118" t="s">
        <v>39</v>
      </c>
      <c r="B2" s="127" t="s">
        <v>79</v>
      </c>
      <c r="C2" s="127" t="s">
        <v>97</v>
      </c>
      <c r="D2" s="127">
        <v>1</v>
      </c>
      <c r="E2" s="127">
        <v>2</v>
      </c>
      <c r="F2" s="127">
        <v>3</v>
      </c>
      <c r="G2" s="127">
        <v>4</v>
      </c>
      <c r="H2" s="127">
        <v>5</v>
      </c>
      <c r="I2" s="127">
        <v>6</v>
      </c>
      <c r="J2" s="127">
        <v>7</v>
      </c>
      <c r="K2" s="127">
        <v>8</v>
      </c>
      <c r="L2" s="127">
        <v>9</v>
      </c>
      <c r="M2" s="128">
        <v>10</v>
      </c>
    </row>
    <row r="3" spans="1:13" x14ac:dyDescent="0.25">
      <c r="A3" s="5" t="s">
        <v>80</v>
      </c>
      <c r="B3" s="21">
        <v>116500</v>
      </c>
      <c r="C3" s="21">
        <f>$B3*13</f>
        <v>1514500</v>
      </c>
      <c r="D3" s="21">
        <f t="shared" ref="D3:E3" si="0">$B3*13</f>
        <v>1514500</v>
      </c>
      <c r="E3" s="21">
        <f t="shared" si="0"/>
        <v>1514500</v>
      </c>
      <c r="F3" s="21">
        <v>1969500</v>
      </c>
      <c r="G3" s="21">
        <v>1969500</v>
      </c>
      <c r="H3" s="21">
        <v>2177500</v>
      </c>
      <c r="I3" s="21">
        <v>2177500</v>
      </c>
      <c r="J3" s="21">
        <v>2177500</v>
      </c>
      <c r="K3" s="21">
        <v>2177500</v>
      </c>
      <c r="L3" s="21">
        <v>2177500</v>
      </c>
      <c r="M3" s="19">
        <v>2177500</v>
      </c>
    </row>
    <row r="4" spans="1:13" x14ac:dyDescent="0.25">
      <c r="A4" s="5" t="s">
        <v>81</v>
      </c>
      <c r="B4" s="21">
        <v>35000</v>
      </c>
      <c r="C4" s="21">
        <f>$B4*12</f>
        <v>420000</v>
      </c>
      <c r="D4" s="21">
        <f t="shared" ref="D4:M18" si="1">$B4*12</f>
        <v>420000</v>
      </c>
      <c r="E4" s="21">
        <f t="shared" si="1"/>
        <v>420000</v>
      </c>
      <c r="F4" s="21">
        <f>$C4*2</f>
        <v>840000</v>
      </c>
      <c r="G4" s="21">
        <f>$C4*2</f>
        <v>840000</v>
      </c>
      <c r="H4" s="21">
        <f>$C4*4</f>
        <v>1680000</v>
      </c>
      <c r="I4" s="21">
        <f t="shared" ref="I4:M4" si="2">$C4*4</f>
        <v>1680000</v>
      </c>
      <c r="J4" s="21">
        <f t="shared" si="2"/>
        <v>1680000</v>
      </c>
      <c r="K4" s="21">
        <f t="shared" si="2"/>
        <v>1680000</v>
      </c>
      <c r="L4" s="21">
        <f t="shared" si="2"/>
        <v>1680000</v>
      </c>
      <c r="M4" s="19">
        <f t="shared" si="2"/>
        <v>1680000</v>
      </c>
    </row>
    <row r="5" spans="1:13" x14ac:dyDescent="0.25">
      <c r="A5" s="5" t="s">
        <v>82</v>
      </c>
      <c r="B5" s="21">
        <v>8000</v>
      </c>
      <c r="C5" s="21">
        <f>$B5*12</f>
        <v>96000</v>
      </c>
      <c r="D5" s="21">
        <f t="shared" si="1"/>
        <v>96000</v>
      </c>
      <c r="E5" s="21">
        <f t="shared" si="1"/>
        <v>96000</v>
      </c>
      <c r="F5" s="21">
        <f t="shared" si="1"/>
        <v>96000</v>
      </c>
      <c r="G5" s="21">
        <f t="shared" si="1"/>
        <v>96000</v>
      </c>
      <c r="H5" s="21">
        <f t="shared" si="1"/>
        <v>96000</v>
      </c>
      <c r="I5" s="21">
        <f t="shared" si="1"/>
        <v>96000</v>
      </c>
      <c r="J5" s="21">
        <f t="shared" si="1"/>
        <v>96000</v>
      </c>
      <c r="K5" s="21">
        <f t="shared" si="1"/>
        <v>96000</v>
      </c>
      <c r="L5" s="21">
        <f t="shared" si="1"/>
        <v>96000</v>
      </c>
      <c r="M5" s="19">
        <f t="shared" si="1"/>
        <v>96000</v>
      </c>
    </row>
    <row r="6" spans="1:13" x14ac:dyDescent="0.25">
      <c r="A6" s="5" t="s">
        <v>83</v>
      </c>
      <c r="B6" s="21" t="s">
        <v>111</v>
      </c>
      <c r="C6" s="21">
        <v>0</v>
      </c>
      <c r="D6" s="21">
        <v>360000</v>
      </c>
      <c r="E6" s="21">
        <v>593300</v>
      </c>
      <c r="F6" s="21">
        <v>200000</v>
      </c>
      <c r="G6" s="21">
        <v>593300</v>
      </c>
      <c r="H6" s="21">
        <v>590000</v>
      </c>
      <c r="I6" s="21">
        <v>593300</v>
      </c>
      <c r="J6" s="21">
        <v>200000</v>
      </c>
      <c r="K6" s="21">
        <v>593300</v>
      </c>
      <c r="L6" s="21">
        <v>200000</v>
      </c>
      <c r="M6" s="19">
        <v>1003000</v>
      </c>
    </row>
    <row r="7" spans="1:13" x14ac:dyDescent="0.25">
      <c r="A7" s="5" t="s">
        <v>84</v>
      </c>
      <c r="B7" s="21">
        <v>15000</v>
      </c>
      <c r="C7" s="21">
        <f>$B7*12</f>
        <v>180000</v>
      </c>
      <c r="D7" s="21">
        <f t="shared" ref="D7:M9" si="3">$B7*12</f>
        <v>180000</v>
      </c>
      <c r="E7" s="21">
        <f t="shared" si="3"/>
        <v>180000</v>
      </c>
      <c r="F7" s="21">
        <f t="shared" si="3"/>
        <v>180000</v>
      </c>
      <c r="G7" s="21">
        <f t="shared" si="3"/>
        <v>180000</v>
      </c>
      <c r="H7" s="21">
        <f t="shared" si="3"/>
        <v>180000</v>
      </c>
      <c r="I7" s="21">
        <f t="shared" si="3"/>
        <v>180000</v>
      </c>
      <c r="J7" s="21">
        <f t="shared" si="3"/>
        <v>180000</v>
      </c>
      <c r="K7" s="21">
        <f t="shared" si="3"/>
        <v>180000</v>
      </c>
      <c r="L7" s="21">
        <f t="shared" si="3"/>
        <v>180000</v>
      </c>
      <c r="M7" s="19">
        <f t="shared" si="3"/>
        <v>180000</v>
      </c>
    </row>
    <row r="8" spans="1:13" x14ac:dyDescent="0.25">
      <c r="A8" s="5" t="s">
        <v>85</v>
      </c>
      <c r="B8" s="21">
        <v>4000</v>
      </c>
      <c r="C8" s="21">
        <f>$B8*12</f>
        <v>48000</v>
      </c>
      <c r="D8" s="21">
        <f t="shared" si="3"/>
        <v>48000</v>
      </c>
      <c r="E8" s="21">
        <f t="shared" si="3"/>
        <v>48000</v>
      </c>
      <c r="F8" s="21">
        <f t="shared" si="3"/>
        <v>48000</v>
      </c>
      <c r="G8" s="21">
        <f t="shared" si="3"/>
        <v>48000</v>
      </c>
      <c r="H8" s="21">
        <f t="shared" si="3"/>
        <v>48000</v>
      </c>
      <c r="I8" s="21">
        <f t="shared" si="3"/>
        <v>48000</v>
      </c>
      <c r="J8" s="21">
        <f t="shared" si="3"/>
        <v>48000</v>
      </c>
      <c r="K8" s="21">
        <f t="shared" si="3"/>
        <v>48000</v>
      </c>
      <c r="L8" s="21">
        <f t="shared" si="3"/>
        <v>48000</v>
      </c>
      <c r="M8" s="19">
        <f t="shared" si="3"/>
        <v>48000</v>
      </c>
    </row>
    <row r="9" spans="1:13" x14ac:dyDescent="0.25">
      <c r="A9" s="5" t="s">
        <v>86</v>
      </c>
      <c r="B9" s="21">
        <v>3500</v>
      </c>
      <c r="C9" s="21">
        <f>$B9*12</f>
        <v>42000</v>
      </c>
      <c r="D9" s="21">
        <f t="shared" si="3"/>
        <v>42000</v>
      </c>
      <c r="E9" s="21">
        <f t="shared" si="3"/>
        <v>42000</v>
      </c>
      <c r="F9" s="21">
        <f t="shared" si="3"/>
        <v>42000</v>
      </c>
      <c r="G9" s="21">
        <f t="shared" si="3"/>
        <v>42000</v>
      </c>
      <c r="H9" s="21">
        <f t="shared" si="3"/>
        <v>42000</v>
      </c>
      <c r="I9" s="21">
        <f t="shared" si="3"/>
        <v>42000</v>
      </c>
      <c r="J9" s="21">
        <f t="shared" si="3"/>
        <v>42000</v>
      </c>
      <c r="K9" s="21">
        <f t="shared" si="3"/>
        <v>42000</v>
      </c>
      <c r="L9" s="21">
        <f t="shared" si="3"/>
        <v>42000</v>
      </c>
      <c r="M9" s="19">
        <f t="shared" si="3"/>
        <v>42000</v>
      </c>
    </row>
    <row r="10" spans="1:13" x14ac:dyDescent="0.25">
      <c r="A10" s="5" t="s">
        <v>87</v>
      </c>
      <c r="B10" s="21">
        <v>16000</v>
      </c>
      <c r="C10" s="21">
        <f>$B10*12</f>
        <v>192000</v>
      </c>
      <c r="D10" s="21">
        <f t="shared" si="1"/>
        <v>192000</v>
      </c>
      <c r="E10" s="21">
        <f t="shared" si="1"/>
        <v>192000</v>
      </c>
      <c r="F10" s="21">
        <f>C10*2</f>
        <v>384000</v>
      </c>
      <c r="G10" s="21">
        <f>C10*2</f>
        <v>384000</v>
      </c>
      <c r="H10" s="21">
        <f>$C10*4</f>
        <v>768000</v>
      </c>
      <c r="I10" s="21">
        <f t="shared" ref="I10:M10" si="4">$C10*4</f>
        <v>768000</v>
      </c>
      <c r="J10" s="21">
        <f t="shared" si="4"/>
        <v>768000</v>
      </c>
      <c r="K10" s="21">
        <f t="shared" si="4"/>
        <v>768000</v>
      </c>
      <c r="L10" s="21">
        <f t="shared" si="4"/>
        <v>768000</v>
      </c>
      <c r="M10" s="19">
        <f t="shared" si="4"/>
        <v>768000</v>
      </c>
    </row>
    <row r="11" spans="1:13" x14ac:dyDescent="0.25">
      <c r="A11" s="5" t="s">
        <v>88</v>
      </c>
      <c r="B11" s="21">
        <v>25000</v>
      </c>
      <c r="C11" s="21">
        <f>$B11*12</f>
        <v>300000</v>
      </c>
      <c r="D11" s="21">
        <f t="shared" si="1"/>
        <v>300000</v>
      </c>
      <c r="E11" s="21">
        <f t="shared" si="1"/>
        <v>300000</v>
      </c>
      <c r="F11" s="21">
        <f>C11*2</f>
        <v>600000</v>
      </c>
      <c r="G11" s="21">
        <f>C11*2</f>
        <v>600000</v>
      </c>
      <c r="H11" s="21">
        <f>$C11*4</f>
        <v>1200000</v>
      </c>
      <c r="I11" s="21">
        <f t="shared" ref="I11:M11" si="5">$C11*4</f>
        <v>1200000</v>
      </c>
      <c r="J11" s="21">
        <f t="shared" si="5"/>
        <v>1200000</v>
      </c>
      <c r="K11" s="21">
        <f t="shared" si="5"/>
        <v>1200000</v>
      </c>
      <c r="L11" s="21">
        <f t="shared" si="5"/>
        <v>1200000</v>
      </c>
      <c r="M11" s="19">
        <f t="shared" si="5"/>
        <v>1200000</v>
      </c>
    </row>
    <row r="12" spans="1:13" x14ac:dyDescent="0.25">
      <c r="A12" s="5" t="s">
        <v>89</v>
      </c>
      <c r="B12" s="21">
        <v>10000</v>
      </c>
      <c r="C12" s="21">
        <v>60000</v>
      </c>
      <c r="D12" s="21">
        <v>60000</v>
      </c>
      <c r="E12" s="21">
        <v>60000</v>
      </c>
      <c r="F12" s="21">
        <v>60000</v>
      </c>
      <c r="G12" s="21">
        <v>60000</v>
      </c>
      <c r="H12" s="21">
        <v>60000</v>
      </c>
      <c r="I12" s="21">
        <v>60000</v>
      </c>
      <c r="J12" s="21">
        <v>60000</v>
      </c>
      <c r="K12" s="21">
        <v>60000</v>
      </c>
      <c r="L12" s="21">
        <v>60000</v>
      </c>
      <c r="M12" s="19">
        <v>60000</v>
      </c>
    </row>
    <row r="13" spans="1:13" x14ac:dyDescent="0.25">
      <c r="A13" s="5" t="s">
        <v>90</v>
      </c>
      <c r="B13" s="21">
        <v>3600</v>
      </c>
      <c r="C13" s="21">
        <f>$B13*12</f>
        <v>43200</v>
      </c>
      <c r="D13" s="21">
        <f t="shared" si="1"/>
        <v>43200</v>
      </c>
      <c r="E13" s="21">
        <f t="shared" si="1"/>
        <v>43200</v>
      </c>
      <c r="F13" s="21">
        <f>C13*2</f>
        <v>86400</v>
      </c>
      <c r="G13" s="21">
        <f>C13*2</f>
        <v>86400</v>
      </c>
      <c r="H13" s="21">
        <f>$C13*4</f>
        <v>172800</v>
      </c>
      <c r="I13" s="21">
        <f t="shared" ref="I13:M13" si="6">$C13*4</f>
        <v>172800</v>
      </c>
      <c r="J13" s="21">
        <f t="shared" si="6"/>
        <v>172800</v>
      </c>
      <c r="K13" s="21">
        <f t="shared" si="6"/>
        <v>172800</v>
      </c>
      <c r="L13" s="21">
        <f t="shared" si="6"/>
        <v>172800</v>
      </c>
      <c r="M13" s="19">
        <f t="shared" si="6"/>
        <v>172800</v>
      </c>
    </row>
    <row r="14" spans="1:13" x14ac:dyDescent="0.25">
      <c r="A14" s="5" t="s">
        <v>91</v>
      </c>
      <c r="B14" s="21">
        <v>3000</v>
      </c>
      <c r="C14" s="21">
        <f>$B14*12</f>
        <v>36000</v>
      </c>
      <c r="D14" s="21">
        <f t="shared" si="1"/>
        <v>36000</v>
      </c>
      <c r="E14" s="21">
        <f t="shared" si="1"/>
        <v>36000</v>
      </c>
      <c r="F14" s="21">
        <f t="shared" si="1"/>
        <v>36000</v>
      </c>
      <c r="G14" s="21">
        <f t="shared" si="1"/>
        <v>36000</v>
      </c>
      <c r="H14" s="21">
        <f t="shared" si="1"/>
        <v>36000</v>
      </c>
      <c r="I14" s="21">
        <f t="shared" si="1"/>
        <v>36000</v>
      </c>
      <c r="J14" s="21">
        <f t="shared" si="1"/>
        <v>36000</v>
      </c>
      <c r="K14" s="21">
        <f t="shared" si="1"/>
        <v>36000</v>
      </c>
      <c r="L14" s="21">
        <f t="shared" si="1"/>
        <v>36000</v>
      </c>
      <c r="M14" s="19">
        <f t="shared" si="1"/>
        <v>36000</v>
      </c>
    </row>
    <row r="15" spans="1:13" x14ac:dyDescent="0.25">
      <c r="A15" s="5" t="s">
        <v>92</v>
      </c>
      <c r="B15" s="21">
        <v>6000</v>
      </c>
      <c r="C15" s="21">
        <f>$B15*12</f>
        <v>72000</v>
      </c>
      <c r="D15" s="21">
        <f t="shared" si="1"/>
        <v>72000</v>
      </c>
      <c r="E15" s="21">
        <f t="shared" si="1"/>
        <v>72000</v>
      </c>
      <c r="F15" s="21">
        <f t="shared" si="1"/>
        <v>72000</v>
      </c>
      <c r="G15" s="21">
        <f t="shared" si="1"/>
        <v>72000</v>
      </c>
      <c r="H15" s="21">
        <f t="shared" si="1"/>
        <v>72000</v>
      </c>
      <c r="I15" s="21">
        <f t="shared" si="1"/>
        <v>72000</v>
      </c>
      <c r="J15" s="21">
        <f t="shared" si="1"/>
        <v>72000</v>
      </c>
      <c r="K15" s="21">
        <f t="shared" si="1"/>
        <v>72000</v>
      </c>
      <c r="L15" s="21">
        <f t="shared" si="1"/>
        <v>72000</v>
      </c>
      <c r="M15" s="19">
        <f t="shared" si="1"/>
        <v>72000</v>
      </c>
    </row>
    <row r="16" spans="1:13" x14ac:dyDescent="0.25">
      <c r="A16" s="5" t="s">
        <v>93</v>
      </c>
      <c r="B16" s="21">
        <v>26000</v>
      </c>
      <c r="C16" s="21">
        <f>$B16*12</f>
        <v>312000</v>
      </c>
      <c r="D16" s="21">
        <f t="shared" si="1"/>
        <v>312000</v>
      </c>
      <c r="E16" s="21">
        <f t="shared" si="1"/>
        <v>312000</v>
      </c>
      <c r="F16" s="21">
        <f>C16*2</f>
        <v>624000</v>
      </c>
      <c r="G16" s="21">
        <f>C16*2</f>
        <v>624000</v>
      </c>
      <c r="H16" s="21">
        <f>$C16*4</f>
        <v>1248000</v>
      </c>
      <c r="I16" s="21">
        <f t="shared" ref="I16:M16" si="7">$C16*4</f>
        <v>1248000</v>
      </c>
      <c r="J16" s="21">
        <f t="shared" si="7"/>
        <v>1248000</v>
      </c>
      <c r="K16" s="21">
        <f t="shared" si="7"/>
        <v>1248000</v>
      </c>
      <c r="L16" s="21">
        <f t="shared" si="7"/>
        <v>1248000</v>
      </c>
      <c r="M16" s="19">
        <f t="shared" si="7"/>
        <v>1248000</v>
      </c>
    </row>
    <row r="17" spans="1:17" x14ac:dyDescent="0.25">
      <c r="A17" s="5" t="s">
        <v>94</v>
      </c>
      <c r="B17" s="21">
        <v>18000</v>
      </c>
      <c r="C17" s="21">
        <v>180000</v>
      </c>
      <c r="D17" s="21">
        <v>180000</v>
      </c>
      <c r="E17" s="21">
        <v>180000</v>
      </c>
      <c r="F17" s="21">
        <v>180000</v>
      </c>
      <c r="G17" s="21">
        <v>180000</v>
      </c>
      <c r="H17" s="21">
        <v>180000</v>
      </c>
      <c r="I17" s="21">
        <v>180000</v>
      </c>
      <c r="J17" s="21">
        <v>180000</v>
      </c>
      <c r="K17" s="21">
        <v>180000</v>
      </c>
      <c r="L17" s="21">
        <v>180000</v>
      </c>
      <c r="M17" s="19">
        <v>180000</v>
      </c>
    </row>
    <row r="18" spans="1:17" x14ac:dyDescent="0.25">
      <c r="A18" s="5" t="s">
        <v>95</v>
      </c>
      <c r="B18" s="21">
        <v>10000</v>
      </c>
      <c r="C18" s="21">
        <f>$B18*12</f>
        <v>120000</v>
      </c>
      <c r="D18" s="21">
        <f t="shared" si="1"/>
        <v>120000</v>
      </c>
      <c r="E18" s="21">
        <f t="shared" si="1"/>
        <v>120000</v>
      </c>
      <c r="F18" s="21">
        <f>C18*2</f>
        <v>240000</v>
      </c>
      <c r="G18" s="21">
        <f>C18*2</f>
        <v>240000</v>
      </c>
      <c r="H18" s="21">
        <f t="shared" ref="H18:M18" si="8">D18*2</f>
        <v>240000</v>
      </c>
      <c r="I18" s="21">
        <f t="shared" si="8"/>
        <v>240000</v>
      </c>
      <c r="J18" s="21">
        <f t="shared" si="8"/>
        <v>480000</v>
      </c>
      <c r="K18" s="21">
        <f t="shared" si="8"/>
        <v>480000</v>
      </c>
      <c r="L18" s="21">
        <f t="shared" si="8"/>
        <v>480000</v>
      </c>
      <c r="M18" s="19">
        <f t="shared" si="8"/>
        <v>480000</v>
      </c>
    </row>
    <row r="19" spans="1:17" ht="15.75" thickBot="1" x14ac:dyDescent="0.3">
      <c r="A19" s="8" t="s">
        <v>96</v>
      </c>
      <c r="B19" s="23">
        <v>23000</v>
      </c>
      <c r="C19" s="23">
        <f>$B19*12</f>
        <v>276000</v>
      </c>
      <c r="D19" s="23">
        <f t="shared" ref="D19:M19" si="9">$B19*12</f>
        <v>276000</v>
      </c>
      <c r="E19" s="23">
        <f t="shared" si="9"/>
        <v>276000</v>
      </c>
      <c r="F19" s="23">
        <f t="shared" si="9"/>
        <v>276000</v>
      </c>
      <c r="G19" s="23">
        <f t="shared" si="9"/>
        <v>276000</v>
      </c>
      <c r="H19" s="23">
        <f t="shared" si="9"/>
        <v>276000</v>
      </c>
      <c r="I19" s="23">
        <f t="shared" si="9"/>
        <v>276000</v>
      </c>
      <c r="J19" s="23">
        <f t="shared" si="9"/>
        <v>276000</v>
      </c>
      <c r="K19" s="23">
        <f t="shared" si="9"/>
        <v>276000</v>
      </c>
      <c r="L19" s="23">
        <f t="shared" si="9"/>
        <v>276000</v>
      </c>
      <c r="M19" s="74">
        <f t="shared" si="9"/>
        <v>276000</v>
      </c>
    </row>
    <row r="20" spans="1:17" ht="15.75" thickBot="1" x14ac:dyDescent="0.3">
      <c r="A20" s="15" t="s">
        <v>49</v>
      </c>
      <c r="B20" s="40">
        <f>B3+B4+B5+B7+B8+B9+B10+B11+B12+B13+B14+B15+B16+B17+B18+B19</f>
        <v>322600</v>
      </c>
      <c r="C20" s="40"/>
      <c r="D20" s="40">
        <f t="shared" ref="D20:M20" si="10">SUM(D3:D19)</f>
        <v>4251700</v>
      </c>
      <c r="E20" s="40">
        <f t="shared" si="10"/>
        <v>4485000</v>
      </c>
      <c r="F20" s="40">
        <f t="shared" si="10"/>
        <v>5933900</v>
      </c>
      <c r="G20" s="40">
        <f t="shared" si="10"/>
        <v>6327200</v>
      </c>
      <c r="H20" s="40">
        <f t="shared" si="10"/>
        <v>9066300</v>
      </c>
      <c r="I20" s="40">
        <f t="shared" si="10"/>
        <v>9069600</v>
      </c>
      <c r="J20" s="40">
        <f t="shared" si="10"/>
        <v>8916300</v>
      </c>
      <c r="K20" s="40">
        <f t="shared" si="10"/>
        <v>9309600</v>
      </c>
      <c r="L20" s="40">
        <f t="shared" si="10"/>
        <v>8916300</v>
      </c>
      <c r="M20" s="129">
        <f t="shared" si="10"/>
        <v>9719300</v>
      </c>
    </row>
    <row r="21" spans="1:17" x14ac:dyDescent="0.25">
      <c r="B21" s="130"/>
    </row>
    <row r="24" spans="1:17" ht="15.75" thickBot="1" x14ac:dyDescent="0.3"/>
    <row r="25" spans="1:17" ht="15.75" thickBot="1" x14ac:dyDescent="0.3">
      <c r="A25" s="110" t="s">
        <v>98</v>
      </c>
      <c r="H25" s="111"/>
      <c r="I25" s="112"/>
      <c r="J25" s="112"/>
      <c r="K25" s="112"/>
      <c r="L25" s="112" t="s">
        <v>66</v>
      </c>
      <c r="M25" s="112"/>
      <c r="N25" s="112"/>
      <c r="O25" s="112"/>
      <c r="P25" s="112"/>
      <c r="Q25" s="113"/>
    </row>
    <row r="26" spans="1:17" ht="15.75" thickBot="1" x14ac:dyDescent="0.3">
      <c r="A26" s="114" t="s">
        <v>99</v>
      </c>
      <c r="B26" s="115" t="s">
        <v>33</v>
      </c>
      <c r="C26" s="116" t="s">
        <v>100</v>
      </c>
      <c r="D26" s="117" t="s">
        <v>101</v>
      </c>
      <c r="E26" s="118" t="s">
        <v>102</v>
      </c>
      <c r="F26" s="119" t="s">
        <v>103</v>
      </c>
      <c r="G26" s="120" t="s">
        <v>104</v>
      </c>
      <c r="H26" s="121">
        <v>1</v>
      </c>
      <c r="I26" s="116">
        <v>2</v>
      </c>
      <c r="J26" s="116">
        <v>3</v>
      </c>
      <c r="K26" s="116">
        <v>4</v>
      </c>
      <c r="L26" s="116">
        <v>5</v>
      </c>
      <c r="M26" s="116">
        <v>6</v>
      </c>
      <c r="N26" s="116">
        <v>7</v>
      </c>
      <c r="O26" s="116">
        <v>8</v>
      </c>
      <c r="P26" s="116">
        <v>9</v>
      </c>
      <c r="Q26" s="122">
        <v>10</v>
      </c>
    </row>
    <row r="27" spans="1:17" x14ac:dyDescent="0.25">
      <c r="A27" s="123" t="s">
        <v>105</v>
      </c>
      <c r="B27" s="64" t="s">
        <v>106</v>
      </c>
      <c r="C27" s="25">
        <v>1</v>
      </c>
      <c r="D27" s="124">
        <v>14000</v>
      </c>
      <c r="E27" s="5">
        <v>14000</v>
      </c>
      <c r="F27" s="6">
        <v>14000</v>
      </c>
      <c r="G27" s="90">
        <v>14000</v>
      </c>
      <c r="H27" s="13">
        <f>$C27*D27*13</f>
        <v>182000</v>
      </c>
      <c r="I27" s="14">
        <f>$C27*E27*13</f>
        <v>182000</v>
      </c>
      <c r="J27" s="14">
        <f>F27*13</f>
        <v>182000</v>
      </c>
      <c r="K27" s="14">
        <f>F27*13</f>
        <v>182000</v>
      </c>
      <c r="L27" s="14">
        <f>$G27*13</f>
        <v>182000</v>
      </c>
      <c r="M27" s="14">
        <f t="shared" ref="M27:Q31" si="11">$G27*13</f>
        <v>182000</v>
      </c>
      <c r="N27" s="14">
        <f t="shared" si="11"/>
        <v>182000</v>
      </c>
      <c r="O27" s="14">
        <f t="shared" si="11"/>
        <v>182000</v>
      </c>
      <c r="P27" s="14">
        <f t="shared" si="11"/>
        <v>182000</v>
      </c>
      <c r="Q27" s="92">
        <f t="shared" si="11"/>
        <v>182000</v>
      </c>
    </row>
    <row r="28" spans="1:17" x14ac:dyDescent="0.25">
      <c r="A28" s="1" t="s">
        <v>107</v>
      </c>
      <c r="B28" s="68" t="s">
        <v>106</v>
      </c>
      <c r="C28" s="21">
        <v>4</v>
      </c>
      <c r="D28" s="90">
        <v>11000</v>
      </c>
      <c r="E28" s="5">
        <f>C28*D28</f>
        <v>44000</v>
      </c>
      <c r="F28" s="6">
        <f>5*D28</f>
        <v>55000</v>
      </c>
      <c r="G28" s="90">
        <f>5*D28</f>
        <v>55000</v>
      </c>
      <c r="H28" s="5">
        <f>$C28*D28*13</f>
        <v>572000</v>
      </c>
      <c r="I28" s="6">
        <f>C28*D28*13</f>
        <v>572000</v>
      </c>
      <c r="J28" s="6">
        <f>F28*13</f>
        <v>715000</v>
      </c>
      <c r="K28" s="6">
        <f>F28*13</f>
        <v>715000</v>
      </c>
      <c r="L28" s="6">
        <f>$G28*13</f>
        <v>715000</v>
      </c>
      <c r="M28" s="6">
        <f t="shared" si="11"/>
        <v>715000</v>
      </c>
      <c r="N28" s="6">
        <f t="shared" si="11"/>
        <v>715000</v>
      </c>
      <c r="O28" s="6">
        <f t="shared" si="11"/>
        <v>715000</v>
      </c>
      <c r="P28" s="6">
        <f t="shared" si="11"/>
        <v>715000</v>
      </c>
      <c r="Q28" s="7">
        <f t="shared" si="11"/>
        <v>715000</v>
      </c>
    </row>
    <row r="29" spans="1:17" x14ac:dyDescent="0.25">
      <c r="A29" s="1" t="s">
        <v>108</v>
      </c>
      <c r="B29" s="68">
        <v>3</v>
      </c>
      <c r="C29" s="21">
        <v>4</v>
      </c>
      <c r="D29" s="90">
        <v>8000</v>
      </c>
      <c r="E29" s="5">
        <f>C29*D29</f>
        <v>32000</v>
      </c>
      <c r="F29" s="6">
        <f>7*D29</f>
        <v>56000</v>
      </c>
      <c r="G29" s="90">
        <f>9*D29</f>
        <v>72000</v>
      </c>
      <c r="H29" s="5">
        <f>$C29*D29*13</f>
        <v>416000</v>
      </c>
      <c r="I29" s="6">
        <f>C29*D29*13</f>
        <v>416000</v>
      </c>
      <c r="J29" s="6">
        <f>F29*13</f>
        <v>728000</v>
      </c>
      <c r="K29" s="6">
        <f>F29*13</f>
        <v>728000</v>
      </c>
      <c r="L29" s="6">
        <f>$G29*13</f>
        <v>936000</v>
      </c>
      <c r="M29" s="6">
        <f t="shared" si="11"/>
        <v>936000</v>
      </c>
      <c r="N29" s="6">
        <f t="shared" si="11"/>
        <v>936000</v>
      </c>
      <c r="O29" s="6">
        <f t="shared" si="11"/>
        <v>936000</v>
      </c>
      <c r="P29" s="6">
        <f t="shared" si="11"/>
        <v>936000</v>
      </c>
      <c r="Q29" s="7">
        <f t="shared" si="11"/>
        <v>936000</v>
      </c>
    </row>
    <row r="30" spans="1:17" x14ac:dyDescent="0.25">
      <c r="A30" s="1" t="s">
        <v>109</v>
      </c>
      <c r="B30" s="68">
        <v>3</v>
      </c>
      <c r="C30" s="21">
        <v>1</v>
      </c>
      <c r="D30" s="90">
        <v>10000</v>
      </c>
      <c r="E30" s="5">
        <v>10000</v>
      </c>
      <c r="F30" s="6">
        <v>10000</v>
      </c>
      <c r="G30" s="90">
        <v>10000</v>
      </c>
      <c r="H30" s="5">
        <f>$C30*D30*13</f>
        <v>130000</v>
      </c>
      <c r="I30" s="6">
        <f>C30*D30*13</f>
        <v>130000</v>
      </c>
      <c r="J30" s="6">
        <f>F30*13</f>
        <v>130000</v>
      </c>
      <c r="K30" s="6">
        <f>F30*13</f>
        <v>130000</v>
      </c>
      <c r="L30" s="6">
        <f>$G30*13</f>
        <v>130000</v>
      </c>
      <c r="M30" s="6">
        <f t="shared" si="11"/>
        <v>130000</v>
      </c>
      <c r="N30" s="6">
        <f t="shared" si="11"/>
        <v>130000</v>
      </c>
      <c r="O30" s="6">
        <f t="shared" si="11"/>
        <v>130000</v>
      </c>
      <c r="P30" s="6">
        <f t="shared" si="11"/>
        <v>130000</v>
      </c>
      <c r="Q30" s="7">
        <f t="shared" si="11"/>
        <v>130000</v>
      </c>
    </row>
    <row r="31" spans="1:17" ht="15.75" thickBot="1" x14ac:dyDescent="0.3">
      <c r="A31" s="108" t="s">
        <v>110</v>
      </c>
      <c r="B31" s="71">
        <v>3</v>
      </c>
      <c r="C31" s="23">
        <v>3</v>
      </c>
      <c r="D31" s="91">
        <v>5500</v>
      </c>
      <c r="E31" s="8">
        <f>$C31*D31</f>
        <v>16500</v>
      </c>
      <c r="F31" s="9">
        <f>C31*D31</f>
        <v>16500</v>
      </c>
      <c r="G31" s="91">
        <f>C31*D31</f>
        <v>16500</v>
      </c>
      <c r="H31" s="8">
        <f>$C31*D31*13</f>
        <v>214500</v>
      </c>
      <c r="I31" s="9">
        <f>C31*D31*13</f>
        <v>214500</v>
      </c>
      <c r="J31" s="9">
        <f>F31*13</f>
        <v>214500</v>
      </c>
      <c r="K31" s="9">
        <f>F31*13</f>
        <v>214500</v>
      </c>
      <c r="L31" s="9">
        <f>$G31*13</f>
        <v>214500</v>
      </c>
      <c r="M31" s="9">
        <f t="shared" si="11"/>
        <v>214500</v>
      </c>
      <c r="N31" s="9">
        <f t="shared" si="11"/>
        <v>214500</v>
      </c>
      <c r="O31" s="9">
        <f t="shared" si="11"/>
        <v>214500</v>
      </c>
      <c r="P31" s="9">
        <f t="shared" si="11"/>
        <v>214500</v>
      </c>
      <c r="Q31" s="10">
        <f t="shared" si="11"/>
        <v>214500</v>
      </c>
    </row>
    <row r="32" spans="1:17" ht="15.75" thickBot="1" x14ac:dyDescent="0.3">
      <c r="A32" s="125" t="s">
        <v>22</v>
      </c>
      <c r="B32" s="76">
        <v>11</v>
      </c>
      <c r="C32" s="16"/>
      <c r="D32" s="17">
        <f t="shared" ref="D32:Q32" si="12">SUM(D27:D31)</f>
        <v>48500</v>
      </c>
      <c r="E32" s="15">
        <f t="shared" si="12"/>
        <v>116500</v>
      </c>
      <c r="F32" s="16">
        <f t="shared" si="12"/>
        <v>151500</v>
      </c>
      <c r="G32" s="126">
        <f t="shared" si="12"/>
        <v>167500</v>
      </c>
      <c r="H32" s="15">
        <f t="shared" si="12"/>
        <v>1514500</v>
      </c>
      <c r="I32" s="16">
        <f t="shared" si="12"/>
        <v>1514500</v>
      </c>
      <c r="J32" s="16">
        <f t="shared" si="12"/>
        <v>1969500</v>
      </c>
      <c r="K32" s="16">
        <f t="shared" si="12"/>
        <v>1969500</v>
      </c>
      <c r="L32" s="16">
        <f t="shared" si="12"/>
        <v>2177500</v>
      </c>
      <c r="M32" s="16">
        <f t="shared" si="12"/>
        <v>2177500</v>
      </c>
      <c r="N32" s="16">
        <f t="shared" si="12"/>
        <v>2177500</v>
      </c>
      <c r="O32" s="16">
        <f t="shared" si="12"/>
        <v>2177500</v>
      </c>
      <c r="P32" s="16">
        <f t="shared" si="12"/>
        <v>2177500</v>
      </c>
      <c r="Q32" s="126">
        <f t="shared" si="12"/>
        <v>2177500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5"/>
  <sheetViews>
    <sheetView workbookViewId="0">
      <selection activeCell="B3" sqref="B3"/>
    </sheetView>
  </sheetViews>
  <sheetFormatPr baseColWidth="10" defaultRowHeight="15" x14ac:dyDescent="0.25"/>
  <cols>
    <col min="1" max="1" width="28.7109375" bestFit="1" customWidth="1"/>
    <col min="2" max="2" width="8" bestFit="1" customWidth="1"/>
  </cols>
  <sheetData>
    <row r="2" spans="1:13" ht="15.75" thickBot="1" x14ac:dyDescent="0.3"/>
    <row r="3" spans="1:13" x14ac:dyDescent="0.25">
      <c r="A3" s="135" t="s">
        <v>113</v>
      </c>
      <c r="B3" s="131">
        <v>6752707.1499999994</v>
      </c>
    </row>
    <row r="4" spans="1:13" x14ac:dyDescent="0.25">
      <c r="A4" s="136" t="s">
        <v>114</v>
      </c>
      <c r="B4" s="132">
        <v>10</v>
      </c>
    </row>
    <row r="5" spans="1:13" ht="15.75" thickBot="1" x14ac:dyDescent="0.3">
      <c r="A5" s="137" t="s">
        <v>115</v>
      </c>
      <c r="B5" s="133">
        <v>0.15</v>
      </c>
    </row>
    <row r="7" spans="1:13" ht="15.75" thickBot="1" x14ac:dyDescent="0.3"/>
    <row r="8" spans="1:13" ht="20.25" customHeight="1" thickBot="1" x14ac:dyDescent="0.3">
      <c r="A8" s="138" t="s">
        <v>116</v>
      </c>
      <c r="B8" s="146"/>
      <c r="C8" s="39">
        <v>0</v>
      </c>
      <c r="D8" s="40">
        <v>1</v>
      </c>
      <c r="E8" s="40">
        <v>2</v>
      </c>
      <c r="F8" s="40">
        <v>3</v>
      </c>
      <c r="G8" s="40">
        <v>4</v>
      </c>
      <c r="H8" s="40">
        <v>5</v>
      </c>
      <c r="I8" s="40">
        <v>6</v>
      </c>
      <c r="J8" s="40">
        <v>7</v>
      </c>
      <c r="K8" s="40">
        <v>8</v>
      </c>
      <c r="L8" s="40">
        <v>9</v>
      </c>
      <c r="M8" s="129">
        <v>10</v>
      </c>
    </row>
    <row r="9" spans="1:13" ht="20.25" customHeight="1" thickBot="1" x14ac:dyDescent="0.35">
      <c r="A9" s="134" t="s">
        <v>117</v>
      </c>
      <c r="B9" s="143" t="s">
        <v>124</v>
      </c>
      <c r="C9" s="148"/>
      <c r="D9" s="149">
        <v>0.15</v>
      </c>
      <c r="E9" s="149">
        <v>0.15</v>
      </c>
      <c r="F9" s="149">
        <v>0.15</v>
      </c>
      <c r="G9" s="149">
        <v>0.15</v>
      </c>
      <c r="H9" s="149">
        <v>0.15</v>
      </c>
      <c r="I9" s="149">
        <v>0.15</v>
      </c>
      <c r="J9" s="149">
        <v>0.15</v>
      </c>
      <c r="K9" s="149">
        <v>0.15</v>
      </c>
      <c r="L9" s="149">
        <v>0.15</v>
      </c>
      <c r="M9" s="150">
        <v>0.15</v>
      </c>
    </row>
    <row r="10" spans="1:13" ht="20.25" customHeight="1" thickBot="1" x14ac:dyDescent="0.3">
      <c r="A10" s="142" t="s">
        <v>118</v>
      </c>
      <c r="B10" s="144" t="s">
        <v>125</v>
      </c>
      <c r="C10" s="188"/>
      <c r="D10" s="195">
        <f t="shared" ref="D10:M10" si="0">C14*D9</f>
        <v>1012906.0724999999</v>
      </c>
      <c r="E10" s="195">
        <f t="shared" si="0"/>
        <v>911615.46524999989</v>
      </c>
      <c r="F10" s="195">
        <f t="shared" si="0"/>
        <v>810324.85799999989</v>
      </c>
      <c r="G10" s="195">
        <f t="shared" si="0"/>
        <v>709034.25075000001</v>
      </c>
      <c r="H10" s="195">
        <f t="shared" si="0"/>
        <v>607743.64350000001</v>
      </c>
      <c r="I10" s="195">
        <f t="shared" si="0"/>
        <v>506453.03625</v>
      </c>
      <c r="J10" s="195">
        <f t="shared" si="0"/>
        <v>405162.42900000006</v>
      </c>
      <c r="K10" s="195">
        <f t="shared" si="0"/>
        <v>303871.82175000006</v>
      </c>
      <c r="L10" s="195">
        <f t="shared" si="0"/>
        <v>202581.21450000009</v>
      </c>
      <c r="M10" s="196">
        <f t="shared" si="0"/>
        <v>101290.6072500001</v>
      </c>
    </row>
    <row r="11" spans="1:13" ht="21" customHeight="1" thickBot="1" x14ac:dyDescent="0.3">
      <c r="A11" s="142" t="s">
        <v>119</v>
      </c>
      <c r="B11" s="145" t="s">
        <v>126</v>
      </c>
      <c r="C11" s="188"/>
      <c r="D11" s="195">
        <f>$C14*0.1</f>
        <v>675270.71499999997</v>
      </c>
      <c r="E11" s="195">
        <f t="shared" ref="E11:M11" si="1">$C14*0.1</f>
        <v>675270.71499999997</v>
      </c>
      <c r="F11" s="195">
        <f t="shared" si="1"/>
        <v>675270.71499999997</v>
      </c>
      <c r="G11" s="195">
        <f t="shared" si="1"/>
        <v>675270.71499999997</v>
      </c>
      <c r="H11" s="195">
        <f t="shared" si="1"/>
        <v>675270.71499999997</v>
      </c>
      <c r="I11" s="195">
        <f t="shared" si="1"/>
        <v>675270.71499999997</v>
      </c>
      <c r="J11" s="195">
        <f t="shared" si="1"/>
        <v>675270.71499999997</v>
      </c>
      <c r="K11" s="195">
        <f t="shared" si="1"/>
        <v>675270.71499999997</v>
      </c>
      <c r="L11" s="195">
        <f t="shared" si="1"/>
        <v>675270.71499999997</v>
      </c>
      <c r="M11" s="196">
        <f t="shared" si="1"/>
        <v>675270.71499999997</v>
      </c>
    </row>
    <row r="12" spans="1:13" ht="18" customHeight="1" thickBot="1" x14ac:dyDescent="0.3">
      <c r="A12" s="134" t="s">
        <v>120</v>
      </c>
      <c r="B12" s="145" t="s">
        <v>128</v>
      </c>
      <c r="C12" s="188"/>
      <c r="D12" s="195">
        <f t="shared" ref="D12:M12" si="2">D10+D11</f>
        <v>1688176.7874999999</v>
      </c>
      <c r="E12" s="195">
        <f t="shared" si="2"/>
        <v>1586886.1802499997</v>
      </c>
      <c r="F12" s="195">
        <f t="shared" si="2"/>
        <v>1485595.5729999999</v>
      </c>
      <c r="G12" s="195">
        <f t="shared" si="2"/>
        <v>1384304.96575</v>
      </c>
      <c r="H12" s="195">
        <f t="shared" si="2"/>
        <v>1283014.3585000001</v>
      </c>
      <c r="I12" s="195">
        <f t="shared" si="2"/>
        <v>1181723.75125</v>
      </c>
      <c r="J12" s="195">
        <f t="shared" si="2"/>
        <v>1080433.1440000001</v>
      </c>
      <c r="K12" s="195">
        <f t="shared" si="2"/>
        <v>979142.53674999997</v>
      </c>
      <c r="L12" s="195">
        <f t="shared" si="2"/>
        <v>877851.92950000009</v>
      </c>
      <c r="M12" s="196">
        <f t="shared" si="2"/>
        <v>776561.32225000008</v>
      </c>
    </row>
    <row r="13" spans="1:13" x14ac:dyDescent="0.25">
      <c r="A13" s="139" t="s">
        <v>121</v>
      </c>
      <c r="B13" s="144"/>
      <c r="C13" s="189"/>
      <c r="D13" s="190"/>
      <c r="E13" s="190"/>
      <c r="F13" s="190"/>
      <c r="G13" s="190"/>
      <c r="H13" s="190"/>
      <c r="I13" s="190"/>
      <c r="J13" s="191"/>
      <c r="K13" s="190"/>
      <c r="L13" s="190"/>
      <c r="M13" s="192"/>
    </row>
    <row r="14" spans="1:13" x14ac:dyDescent="0.25">
      <c r="A14" s="140" t="s">
        <v>122</v>
      </c>
      <c r="B14" s="144" t="s">
        <v>127</v>
      </c>
      <c r="C14" s="193">
        <v>6752707.1499999994</v>
      </c>
      <c r="D14" s="194">
        <f t="shared" ref="D14:M14" si="3">C14-D11</f>
        <v>6077436.4349999996</v>
      </c>
      <c r="E14" s="194">
        <f t="shared" si="3"/>
        <v>5402165.7199999997</v>
      </c>
      <c r="F14" s="194">
        <f t="shared" si="3"/>
        <v>4726895.0049999999</v>
      </c>
      <c r="G14" s="194">
        <f t="shared" si="3"/>
        <v>4051624.29</v>
      </c>
      <c r="H14" s="194">
        <f t="shared" si="3"/>
        <v>3376353.5750000002</v>
      </c>
      <c r="I14" s="194">
        <f t="shared" si="3"/>
        <v>2701082.8600000003</v>
      </c>
      <c r="J14" s="191">
        <f t="shared" si="3"/>
        <v>2025812.1450000005</v>
      </c>
      <c r="K14" s="194">
        <f t="shared" si="3"/>
        <v>1350541.4300000006</v>
      </c>
      <c r="L14" s="194">
        <f t="shared" si="3"/>
        <v>675270.71500000067</v>
      </c>
      <c r="M14" s="192">
        <f t="shared" si="3"/>
        <v>0</v>
      </c>
    </row>
    <row r="15" spans="1:13" ht="15.75" thickBot="1" x14ac:dyDescent="0.3">
      <c r="A15" s="141" t="s">
        <v>123</v>
      </c>
      <c r="B15" s="147"/>
      <c r="C15" s="151"/>
      <c r="D15" s="152"/>
      <c r="E15" s="152"/>
      <c r="F15" s="152"/>
      <c r="G15" s="152"/>
      <c r="H15" s="152"/>
      <c r="I15" s="152"/>
      <c r="J15" s="153"/>
      <c r="K15" s="152"/>
      <c r="L15" s="152"/>
      <c r="M15" s="15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"/>
  <sheetViews>
    <sheetView workbookViewId="0">
      <selection activeCell="F21" sqref="F21"/>
    </sheetView>
  </sheetViews>
  <sheetFormatPr baseColWidth="10" defaultRowHeight="15" x14ac:dyDescent="0.25"/>
  <cols>
    <col min="1" max="1" width="22.85546875" bestFit="1" customWidth="1"/>
  </cols>
  <sheetData>
    <row r="1" spans="1:13" x14ac:dyDescent="0.25">
      <c r="A1" s="308" t="s">
        <v>154</v>
      </c>
      <c r="B1" s="306" t="s">
        <v>155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7"/>
    </row>
    <row r="2" spans="1:13" x14ac:dyDescent="0.25">
      <c r="A2" s="5"/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7">
        <v>12</v>
      </c>
    </row>
    <row r="3" spans="1:13" x14ac:dyDescent="0.25">
      <c r="A3" s="5" t="s">
        <v>156</v>
      </c>
      <c r="B3" s="6">
        <v>282820</v>
      </c>
      <c r="C3" s="6">
        <v>282820</v>
      </c>
      <c r="D3" s="6">
        <v>282820</v>
      </c>
      <c r="E3" s="6">
        <v>282820</v>
      </c>
      <c r="F3" s="6">
        <v>282820</v>
      </c>
      <c r="G3" s="6">
        <v>282820</v>
      </c>
      <c r="H3" s="6">
        <v>282820</v>
      </c>
      <c r="I3" s="6">
        <v>282820</v>
      </c>
      <c r="J3" s="6">
        <v>282820</v>
      </c>
      <c r="K3" s="6">
        <v>282820</v>
      </c>
      <c r="L3" s="6">
        <v>282820</v>
      </c>
      <c r="M3" s="7">
        <v>282820</v>
      </c>
    </row>
    <row r="4" spans="1:13" x14ac:dyDescent="0.25">
      <c r="A4" s="5" t="s">
        <v>157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5">
      <c r="A5" s="5" t="s">
        <v>169</v>
      </c>
      <c r="B5" s="285">
        <v>1793820.8</v>
      </c>
      <c r="C5" s="6">
        <v>0</v>
      </c>
      <c r="D5" s="285">
        <v>2018048.4000000001</v>
      </c>
      <c r="E5" s="6">
        <v>0</v>
      </c>
      <c r="F5" s="6">
        <v>2242276</v>
      </c>
      <c r="G5" s="6">
        <v>0</v>
      </c>
      <c r="H5" s="6">
        <v>2242276</v>
      </c>
      <c r="I5" s="6">
        <v>0</v>
      </c>
      <c r="J5" s="6">
        <v>2242276</v>
      </c>
      <c r="K5" s="6">
        <v>0</v>
      </c>
      <c r="L5" s="6">
        <v>1681707</v>
      </c>
      <c r="M5" s="7">
        <v>0</v>
      </c>
    </row>
    <row r="6" spans="1:13" x14ac:dyDescent="0.25">
      <c r="A6" s="5" t="s">
        <v>157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x14ac:dyDescent="0.25">
      <c r="A7" s="5" t="s">
        <v>158</v>
      </c>
      <c r="B7" s="6">
        <v>115759.20000000001</v>
      </c>
      <c r="C7" s="6">
        <v>115759.20000000001</v>
      </c>
      <c r="D7" s="6">
        <v>115759.20000000001</v>
      </c>
      <c r="E7" s="6">
        <v>144699</v>
      </c>
      <c r="F7" s="6">
        <v>144699</v>
      </c>
      <c r="G7" s="6">
        <v>144699</v>
      </c>
      <c r="H7" s="6">
        <v>144699</v>
      </c>
      <c r="I7" s="6">
        <v>144699</v>
      </c>
      <c r="J7" s="6">
        <v>144699</v>
      </c>
      <c r="K7" s="6">
        <v>144699</v>
      </c>
      <c r="L7" s="6">
        <v>144699</v>
      </c>
      <c r="M7" s="7">
        <v>72349.5</v>
      </c>
    </row>
    <row r="8" spans="1:13" x14ac:dyDescent="0.25">
      <c r="A8" s="5" t="s">
        <v>157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x14ac:dyDescent="0.25">
      <c r="A9" s="5" t="s">
        <v>159</v>
      </c>
      <c r="B9" s="6">
        <v>514960</v>
      </c>
      <c r="C9" s="6">
        <v>514960</v>
      </c>
      <c r="D9" s="6">
        <v>514960</v>
      </c>
      <c r="E9" s="6">
        <v>643700</v>
      </c>
      <c r="F9" s="6">
        <v>643700</v>
      </c>
      <c r="G9" s="6">
        <v>643700</v>
      </c>
      <c r="H9" s="6">
        <v>643700</v>
      </c>
      <c r="I9" s="6">
        <v>643700</v>
      </c>
      <c r="J9" s="6">
        <v>643700</v>
      </c>
      <c r="K9" s="6">
        <v>643700</v>
      </c>
      <c r="L9" s="6">
        <v>643700</v>
      </c>
      <c r="M9" s="7">
        <v>321850</v>
      </c>
    </row>
    <row r="10" spans="1:13" x14ac:dyDescent="0.25">
      <c r="A10" s="5" t="s">
        <v>160</v>
      </c>
      <c r="B10" s="6">
        <v>2707360</v>
      </c>
      <c r="C10" s="6">
        <v>913539.2</v>
      </c>
      <c r="D10" s="6">
        <v>2931587.6000000006</v>
      </c>
      <c r="E10" s="6">
        <v>1071219</v>
      </c>
      <c r="F10" s="6">
        <v>3313495</v>
      </c>
      <c r="G10" s="6">
        <v>1071219</v>
      </c>
      <c r="H10" s="6">
        <v>3313495</v>
      </c>
      <c r="I10" s="6">
        <v>1071219</v>
      </c>
      <c r="J10" s="6">
        <v>3313495</v>
      </c>
      <c r="K10" s="6">
        <v>1071219</v>
      </c>
      <c r="L10" s="6">
        <v>2470106</v>
      </c>
      <c r="M10" s="7">
        <v>677019.5</v>
      </c>
    </row>
    <row r="11" spans="1:13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3" x14ac:dyDescent="0.25">
      <c r="A12" s="309" t="s">
        <v>161</v>
      </c>
      <c r="B12" s="6" t="s">
        <v>155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x14ac:dyDescent="0.25">
      <c r="A13" s="5"/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6">
        <v>6</v>
      </c>
      <c r="H13" s="6">
        <v>7</v>
      </c>
      <c r="I13" s="6">
        <v>8</v>
      </c>
      <c r="J13" s="6">
        <v>9</v>
      </c>
      <c r="K13" s="6">
        <v>10</v>
      </c>
      <c r="L13" s="6">
        <v>11</v>
      </c>
      <c r="M13" s="7">
        <v>12</v>
      </c>
    </row>
    <row r="14" spans="1:13" x14ac:dyDescent="0.25">
      <c r="A14" s="5" t="s">
        <v>162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</row>
    <row r="15" spans="1:13" x14ac:dyDescent="0.25">
      <c r="A15" s="5" t="s">
        <v>163</v>
      </c>
      <c r="B15" s="6">
        <v>844800</v>
      </c>
      <c r="C15" s="6">
        <v>2252800</v>
      </c>
      <c r="D15" s="6">
        <v>2252800</v>
      </c>
      <c r="E15" s="6">
        <v>2816000</v>
      </c>
      <c r="F15" s="6">
        <v>2816000</v>
      </c>
      <c r="G15" s="6">
        <v>2816000</v>
      </c>
      <c r="H15" s="6">
        <v>2816000</v>
      </c>
      <c r="I15" s="6">
        <v>2816000</v>
      </c>
      <c r="J15" s="6">
        <v>2816000</v>
      </c>
      <c r="K15" s="6">
        <v>2816000</v>
      </c>
      <c r="L15" s="6">
        <v>2816000</v>
      </c>
      <c r="M15" s="7">
        <v>1408000</v>
      </c>
    </row>
    <row r="16" spans="1:13" x14ac:dyDescent="0.25">
      <c r="A16" s="5" t="s">
        <v>164</v>
      </c>
      <c r="B16" s="6">
        <v>844800</v>
      </c>
      <c r="C16" s="6">
        <v>2252800</v>
      </c>
      <c r="D16" s="6">
        <v>2252800</v>
      </c>
      <c r="E16" s="6">
        <v>2816000</v>
      </c>
      <c r="F16" s="6">
        <v>2816000</v>
      </c>
      <c r="G16" s="6">
        <v>2816000</v>
      </c>
      <c r="H16" s="6">
        <v>2816000</v>
      </c>
      <c r="I16" s="6">
        <v>2816000</v>
      </c>
      <c r="J16" s="6">
        <v>2816000</v>
      </c>
      <c r="K16" s="6">
        <v>2816000</v>
      </c>
      <c r="L16" s="6">
        <v>2816000</v>
      </c>
      <c r="M16" s="7">
        <v>1408000</v>
      </c>
    </row>
    <row r="17" spans="1:13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</row>
    <row r="18" spans="1:13" x14ac:dyDescent="0.25">
      <c r="A18" s="5" t="s">
        <v>165</v>
      </c>
      <c r="B18" s="6">
        <v>-1862560</v>
      </c>
      <c r="C18" s="285">
        <v>-523299.20000000019</v>
      </c>
      <c r="D18" s="285">
        <v>-1202086.8000000007</v>
      </c>
      <c r="E18" s="285">
        <v>542694.19999999925</v>
      </c>
      <c r="F18" s="285">
        <v>45199.199999999255</v>
      </c>
      <c r="G18" s="285">
        <v>1789980.1999999993</v>
      </c>
      <c r="H18" s="285">
        <v>1292485.1999999993</v>
      </c>
      <c r="I18" s="285">
        <v>3037266.1999999993</v>
      </c>
      <c r="J18" s="285">
        <v>2539771.1999999993</v>
      </c>
      <c r="K18" s="285">
        <v>4284552.1999999993</v>
      </c>
      <c r="L18" s="285">
        <v>4630446.1999999993</v>
      </c>
      <c r="M18" s="314">
        <v>5361426.6999999993</v>
      </c>
    </row>
    <row r="19" spans="1:13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1:13" ht="15.75" thickBot="1" x14ac:dyDescent="0.3">
      <c r="A20" s="310" t="s">
        <v>166</v>
      </c>
      <c r="B20" s="295">
        <v>1862560</v>
      </c>
      <c r="C20" s="295">
        <v>523299.20000000019</v>
      </c>
      <c r="D20" s="295">
        <v>1202086.8000000007</v>
      </c>
      <c r="E20" s="295">
        <v>0</v>
      </c>
      <c r="F20" s="295">
        <v>0</v>
      </c>
      <c r="G20" s="295">
        <v>0</v>
      </c>
      <c r="H20" s="295">
        <v>0</v>
      </c>
      <c r="I20" s="295">
        <v>0</v>
      </c>
      <c r="J20" s="295">
        <v>0</v>
      </c>
      <c r="K20" s="295">
        <v>0</v>
      </c>
      <c r="L20" s="295">
        <v>0</v>
      </c>
      <c r="M20" s="296">
        <v>0</v>
      </c>
    </row>
    <row r="21" spans="1:13" ht="15.75" thickBot="1" x14ac:dyDescent="0.3"/>
    <row r="22" spans="1:13" x14ac:dyDescent="0.25">
      <c r="A22" s="311" t="s">
        <v>167</v>
      </c>
      <c r="B22" s="305"/>
    </row>
    <row r="23" spans="1:13" ht="15.75" thickBot="1" x14ac:dyDescent="0.3">
      <c r="A23" s="312" t="s">
        <v>168</v>
      </c>
      <c r="B23" s="313">
        <v>523299.20000000019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"/>
  <sheetViews>
    <sheetView workbookViewId="0">
      <selection activeCell="B15" sqref="B15"/>
    </sheetView>
  </sheetViews>
  <sheetFormatPr baseColWidth="10" defaultRowHeight="15" x14ac:dyDescent="0.25"/>
  <cols>
    <col min="1" max="1" width="15.140625" bestFit="1" customWidth="1"/>
  </cols>
  <sheetData>
    <row r="1" spans="1:17" ht="15.75" thickBot="1" x14ac:dyDescent="0.3">
      <c r="G1" s="3" t="s">
        <v>170</v>
      </c>
      <c r="H1" s="272" t="s">
        <v>171</v>
      </c>
      <c r="I1" s="272"/>
      <c r="J1" s="272"/>
      <c r="K1" s="272"/>
      <c r="L1" s="272"/>
      <c r="M1" s="272"/>
      <c r="N1" s="272"/>
      <c r="O1" s="272"/>
      <c r="P1" s="316"/>
    </row>
    <row r="2" spans="1:17" ht="15.75" thickBot="1" x14ac:dyDescent="0.3">
      <c r="A2" s="317" t="s">
        <v>172</v>
      </c>
      <c r="B2" s="318" t="s">
        <v>173</v>
      </c>
      <c r="C2" s="319" t="s">
        <v>174</v>
      </c>
      <c r="D2" s="319" t="s">
        <v>175</v>
      </c>
      <c r="E2" s="320" t="s">
        <v>176</v>
      </c>
      <c r="F2" s="321" t="s">
        <v>177</v>
      </c>
      <c r="G2" s="321">
        <v>1</v>
      </c>
      <c r="H2" s="321">
        <v>2</v>
      </c>
      <c r="I2" s="321">
        <v>3</v>
      </c>
      <c r="J2" s="321">
        <v>4</v>
      </c>
      <c r="K2" s="321">
        <v>5</v>
      </c>
      <c r="L2" s="321">
        <v>6</v>
      </c>
      <c r="M2" s="321">
        <v>7</v>
      </c>
      <c r="N2" s="321">
        <v>8</v>
      </c>
      <c r="O2" s="321">
        <v>9</v>
      </c>
      <c r="P2" s="322">
        <v>10</v>
      </c>
      <c r="Q2" s="323" t="s">
        <v>178</v>
      </c>
    </row>
    <row r="3" spans="1:17" x14ac:dyDescent="0.25">
      <c r="A3" s="324" t="s">
        <v>179</v>
      </c>
      <c r="B3" s="325"/>
      <c r="C3" s="326">
        <v>16</v>
      </c>
      <c r="D3" s="327">
        <v>582044</v>
      </c>
      <c r="E3" s="328">
        <v>678452</v>
      </c>
      <c r="F3" s="329">
        <v>5</v>
      </c>
      <c r="G3" s="330">
        <f>$D3/5</f>
        <v>116408.8</v>
      </c>
      <c r="H3" s="331">
        <f>$D3/5</f>
        <v>116408.8</v>
      </c>
      <c r="I3" s="331">
        <f>$D3/5</f>
        <v>116408.8</v>
      </c>
      <c r="J3" s="331">
        <f>$D3/5</f>
        <v>116408.8</v>
      </c>
      <c r="K3" s="331">
        <f>$D3/5</f>
        <v>116408.8</v>
      </c>
      <c r="L3" s="331">
        <f>$E3/5</f>
        <v>135690.4</v>
      </c>
      <c r="M3" s="331">
        <f>$E3/5</f>
        <v>135690.4</v>
      </c>
      <c r="N3" s="331">
        <f>$E3/5</f>
        <v>135690.4</v>
      </c>
      <c r="O3" s="331">
        <f>$E3/5</f>
        <v>135690.4</v>
      </c>
      <c r="P3" s="332">
        <f>$E3/5</f>
        <v>135690.4</v>
      </c>
      <c r="Q3" s="333">
        <f>+D3+E3-SUM(G3:P3)</f>
        <v>0</v>
      </c>
    </row>
    <row r="4" spans="1:17" ht="15.75" thickBot="1" x14ac:dyDescent="0.3">
      <c r="A4" s="334"/>
      <c r="B4" s="335"/>
      <c r="C4" s="336">
        <v>18</v>
      </c>
      <c r="D4" s="337">
        <v>4645654</v>
      </c>
      <c r="E4" s="338">
        <v>4645654</v>
      </c>
      <c r="F4" s="339">
        <v>10</v>
      </c>
      <c r="G4" s="340">
        <f>$D4*0.1</f>
        <v>464565.4</v>
      </c>
      <c r="H4" s="341">
        <f>$D4*0.1</f>
        <v>464565.4</v>
      </c>
      <c r="I4" s="341">
        <f>$D4*0.1</f>
        <v>464565.4</v>
      </c>
      <c r="J4" s="341">
        <f>$D4*0.1</f>
        <v>464565.4</v>
      </c>
      <c r="K4" s="341">
        <f>$D4*0.1</f>
        <v>464565.4</v>
      </c>
      <c r="L4" s="341">
        <f>$K4*2</f>
        <v>929130.8</v>
      </c>
      <c r="M4" s="341">
        <f>$K4*2</f>
        <v>929130.8</v>
      </c>
      <c r="N4" s="341">
        <f>$K4*2</f>
        <v>929130.8</v>
      </c>
      <c r="O4" s="341">
        <f>$K4*2</f>
        <v>929130.8</v>
      </c>
      <c r="P4" s="342">
        <f>$K4*2</f>
        <v>929130.8</v>
      </c>
      <c r="Q4" s="333">
        <f>+D4+E4-SUM(G4:P4)</f>
        <v>2322827.0000000009</v>
      </c>
    </row>
    <row r="5" spans="1:17" ht="15.75" thickBot="1" x14ac:dyDescent="0.3">
      <c r="A5" s="343" t="s">
        <v>180</v>
      </c>
      <c r="B5" s="344"/>
      <c r="C5" s="345"/>
      <c r="D5" s="346">
        <v>13514592</v>
      </c>
      <c r="E5" s="347">
        <v>4368000</v>
      </c>
      <c r="F5" s="348">
        <v>25</v>
      </c>
      <c r="G5" s="349">
        <f>$D5/25</f>
        <v>540583.68000000005</v>
      </c>
      <c r="H5" s="350">
        <f>$D5/25</f>
        <v>540583.68000000005</v>
      </c>
      <c r="I5" s="350">
        <f>$D5/25</f>
        <v>540583.68000000005</v>
      </c>
      <c r="J5" s="350">
        <f>$D5/25</f>
        <v>540583.68000000005</v>
      </c>
      <c r="K5" s="350">
        <f>$D5/25</f>
        <v>540583.68000000005</v>
      </c>
      <c r="L5" s="350">
        <f>K5+($E5/F5)</f>
        <v>715303.68</v>
      </c>
      <c r="M5" s="350">
        <f>$D$5/$F$5+$E$5/$F$5</f>
        <v>715303.68</v>
      </c>
      <c r="N5" s="350">
        <f>$D$5/$F$5+$E$5/$F$5</f>
        <v>715303.68</v>
      </c>
      <c r="O5" s="350">
        <f>$D$5/$F$5+$E$5/$F$5</f>
        <v>715303.68</v>
      </c>
      <c r="P5" s="350">
        <f>$D$5/$F$5+$E$5/$F$5</f>
        <v>715303.68</v>
      </c>
      <c r="Q5" s="333">
        <f>+D5+E5-SUM(G5:P5)</f>
        <v>11603155.199999999</v>
      </c>
    </row>
    <row r="6" spans="1:17" ht="15.75" thickBot="1" x14ac:dyDescent="0.3">
      <c r="A6" s="351" t="s">
        <v>181</v>
      </c>
      <c r="B6" s="352"/>
      <c r="C6" s="353"/>
      <c r="D6" s="354">
        <f>D3+D4+D5</f>
        <v>18742290</v>
      </c>
      <c r="E6" s="355">
        <f>E3+E4+E5</f>
        <v>9692106</v>
      </c>
      <c r="F6" s="356"/>
      <c r="G6" s="357">
        <f>G3+G4+G5</f>
        <v>1121557.8800000001</v>
      </c>
      <c r="H6" s="358">
        <f t="shared" ref="H6:P6" si="0">SUM(H3:H5)</f>
        <v>1121557.8800000001</v>
      </c>
      <c r="I6" s="358">
        <f t="shared" si="0"/>
        <v>1121557.8800000001</v>
      </c>
      <c r="J6" s="358">
        <f t="shared" si="0"/>
        <v>1121557.8800000001</v>
      </c>
      <c r="K6" s="358">
        <f t="shared" si="0"/>
        <v>1121557.8800000001</v>
      </c>
      <c r="L6" s="358">
        <f t="shared" si="0"/>
        <v>1780124.88</v>
      </c>
      <c r="M6" s="358">
        <f t="shared" si="0"/>
        <v>1780124.88</v>
      </c>
      <c r="N6" s="358">
        <f t="shared" si="0"/>
        <v>1780124.88</v>
      </c>
      <c r="O6" s="358">
        <f t="shared" si="0"/>
        <v>1780124.88</v>
      </c>
      <c r="P6" s="359">
        <f t="shared" si="0"/>
        <v>1780124.88</v>
      </c>
    </row>
    <row r="7" spans="1:17" ht="15.75" thickBot="1" x14ac:dyDescent="0.3">
      <c r="A7" s="360" t="s">
        <v>182</v>
      </c>
      <c r="B7" s="361"/>
      <c r="C7" s="361"/>
      <c r="D7" s="362"/>
      <c r="E7" s="362"/>
      <c r="F7" s="363"/>
      <c r="G7" s="364"/>
      <c r="H7" s="365">
        <v>593300</v>
      </c>
      <c r="I7" s="366">
        <v>200000</v>
      </c>
      <c r="J7" s="365">
        <v>593300</v>
      </c>
      <c r="K7" s="366">
        <v>590000</v>
      </c>
      <c r="L7" s="366">
        <v>590300</v>
      </c>
      <c r="M7" s="366">
        <v>200000</v>
      </c>
      <c r="N7" s="366">
        <v>593300</v>
      </c>
      <c r="O7" s="366">
        <v>200000</v>
      </c>
      <c r="P7" s="367">
        <v>1003000</v>
      </c>
    </row>
    <row r="8" spans="1:17" ht="15.75" thickBot="1" x14ac:dyDescent="0.3">
      <c r="A8" s="351" t="s">
        <v>183</v>
      </c>
      <c r="B8" s="352"/>
      <c r="C8" s="353"/>
      <c r="D8" s="368">
        <v>210000</v>
      </c>
      <c r="E8" s="369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33">
        <f>+D8+E8-SUM(G8:P8)</f>
        <v>210000</v>
      </c>
    </row>
    <row r="9" spans="1:17" ht="15.75" thickBot="1" x14ac:dyDescent="0.3">
      <c r="A9" s="371" t="s">
        <v>12</v>
      </c>
      <c r="B9" s="372"/>
      <c r="C9" s="373"/>
      <c r="D9" s="374">
        <v>523299</v>
      </c>
      <c r="E9" s="369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</row>
    <row r="10" spans="1:17" ht="15.75" thickBot="1" x14ac:dyDescent="0.3">
      <c r="A10" s="375"/>
      <c r="B10" s="370"/>
      <c r="C10" s="370"/>
      <c r="D10" s="369"/>
      <c r="E10" s="369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</row>
    <row r="11" spans="1:17" ht="15.75" thickBot="1" x14ac:dyDescent="0.3">
      <c r="A11" s="376" t="s">
        <v>184</v>
      </c>
      <c r="B11" s="377"/>
      <c r="C11" s="377"/>
      <c r="D11" s="378">
        <f>D3+D4+D5+D8+D9</f>
        <v>19475589</v>
      </c>
      <c r="E11" s="369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</row>
    <row r="12" spans="1:17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ht="15.75" thickBot="1" x14ac:dyDescent="0.3"/>
    <row r="14" spans="1:17" x14ac:dyDescent="0.25">
      <c r="A14" s="379" t="s">
        <v>185</v>
      </c>
      <c r="B14" s="380">
        <f>D11*0.35</f>
        <v>6816456.1499999994</v>
      </c>
    </row>
    <row r="15" spans="1:17" x14ac:dyDescent="0.25">
      <c r="A15" s="381" t="s">
        <v>186</v>
      </c>
      <c r="B15" s="382">
        <f>D11*0.65</f>
        <v>12659132.85</v>
      </c>
    </row>
    <row r="16" spans="1:17" ht="15.75" thickBot="1" x14ac:dyDescent="0.3">
      <c r="A16" s="383" t="s">
        <v>187</v>
      </c>
      <c r="B16" s="384">
        <f>SUM(B14:B15)</f>
        <v>19475589</v>
      </c>
      <c r="P16" s="385" t="s">
        <v>188</v>
      </c>
      <c r="Q16" s="333">
        <f>SUM(Q4:Q15)</f>
        <v>14135982.199999999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Flujo de Caja</vt:lpstr>
      <vt:lpstr>Plan de Produccion</vt:lpstr>
      <vt:lpstr>Costos Variables</vt:lpstr>
      <vt:lpstr>Costos Fijos</vt:lpstr>
      <vt:lpstr>Credito</vt:lpstr>
      <vt:lpstr>Capacidad de Trabajo</vt:lpstr>
      <vt:lpstr>Amortizacion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Matschke Fiorella</cp:lastModifiedBy>
  <dcterms:created xsi:type="dcterms:W3CDTF">2013-01-23T02:45:59Z</dcterms:created>
  <dcterms:modified xsi:type="dcterms:W3CDTF">2023-10-04T18:20:13Z</dcterms:modified>
</cp:coreProperties>
</file>